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34500" windowHeight="19700" tabRatio="385" activeTab="0"/>
  </bookViews>
  <sheets>
    <sheet name="Portfolio" sheetId="1" r:id="rId1"/>
    <sheet name="Money Wheel" sheetId="2" r:id="rId2"/>
    <sheet name="Seasonal Allocation" sheetId="3" r:id="rId3"/>
    <sheet name="Symbols" sheetId="4" r:id="rId4"/>
  </sheets>
  <definedNames/>
  <calcPr fullCalcOnLoad="1"/>
</workbook>
</file>

<file path=xl/comments1.xml><?xml version="1.0" encoding="utf-8"?>
<comments xmlns="http://schemas.openxmlformats.org/spreadsheetml/2006/main">
  <authors>
    <author/>
  </authors>
  <commentList>
    <comment ref="F9" authorId="0">
      <text>
        <r>
          <rPr>
            <sz val="10"/>
            <rFont val="Arial"/>
            <family val="2"/>
          </rPr>
          <t>Using next quarter earning estimate</t>
        </r>
      </text>
    </comment>
    <comment ref="H9" authorId="0">
      <text>
        <r>
          <rPr>
            <sz val="10"/>
            <rFont val="Arial"/>
            <family val="2"/>
          </rPr>
          <t>Updated Mar23</t>
        </r>
      </text>
    </comment>
    <comment ref="N9" authorId="0">
      <text>
        <r>
          <rPr>
            <sz val="10"/>
            <rFont val="Arial"/>
            <family val="2"/>
          </rPr>
          <t>EPS using next quarter estimate</t>
        </r>
      </text>
    </comment>
    <comment ref="O9" authorId="0">
      <text>
        <r>
          <rPr>
            <sz val="10"/>
            <rFont val="Arial"/>
            <family val="2"/>
          </rPr>
          <t>Year Yield (Fidelity.com)</t>
        </r>
      </text>
    </comment>
    <comment ref="H10" authorId="0">
      <text>
        <r>
          <rPr>
            <sz val="10"/>
            <rFont val="Arial"/>
            <family val="2"/>
          </rPr>
          <t>5.4  on  2013May02   PE=10.64
6.1  on  2013Apr28   PE=10.27
5.9  on  2013Apr18   PE=8.89
5.7  on  2013Apr09   PE=9.68
5.4  on  2013Apr02   PE=9.75
5.3  on  2013Mar31   PE=9.73
5.2  on  2013Mar26   PE=10.46
5.5  on  2013Mar19   PE=10.31
5.4  on  2013Mar15   PE=10.06
4.2  on  2013Mar10   PE=9.93
4.1  on  2013Mar03   PE=9.52
5.1  on  2013Feb24   PE=10.22
5.0  on  2013Feb21   PE=10.18
4.1  on  2013Feb13   PE=10.61
5.9  on  2013Jan29   PE=10.20
5.4  on  2013Jan27   PE=9.97
8.4  on  2013Jan27   PE=9.97
9.3  on  2013Jan27   PE=9.97
5.4  on  2013Jan27   PE=9.97
4.5  on  2013Jan24   PE=11.66
3.9  on  2013Jan01   PE=11.85
6.1  on  2012Dec28   PE=11.54
5.3  on  2012Dec27   PE=11.54
5.2  on  2012Dec06   PE=12.39
5.1  on  2012Dec02   PE=13.27
4.9  on  2012Nov29   PE=13.35
4.6  on  2012Nov27   PE=13.24
5.6  on  2012Nov22   PE=12.94
5.5  on  2012Nov20   PE=12.70
5.9  on  2012Nov17   PE=12.81
5.8  on  2012Nov16   PE=11.95
4.4  on  2012Nov15   PE=11.95</t>
        </r>
      </text>
    </comment>
    <comment ref="L10" authorId="0">
      <text>
        <r>
          <rPr>
            <sz val="10"/>
            <rFont val="Arial"/>
            <family val="2"/>
          </rPr>
          <t xml:space="preserve">Pay date = May16 </t>
        </r>
      </text>
    </comment>
    <comment ref="M10" authorId="0">
      <text>
        <r>
          <rPr>
            <sz val="10"/>
            <rFont val="Arial"/>
            <family val="2"/>
          </rPr>
          <t>After Closes</t>
        </r>
      </text>
    </comment>
    <comment ref="N10" authorId="0">
      <text>
        <r>
          <rPr>
            <sz val="10"/>
            <rFont val="Arial"/>
            <family val="2"/>
          </rPr>
          <t>EPS Q+1= 7.32,  Q-1= 10.09,  Q-2= 13.81,  Q-3= 8.67,  Q-4= 9.32</t>
        </r>
      </text>
    </comment>
    <comment ref="H11" authorId="0">
      <text>
        <r>
          <rPr>
            <sz val="10"/>
            <rFont val="Arial"/>
            <family val="2"/>
          </rPr>
          <t>7.5  on  2013May02   PE=12.06
7.4  on  2013Apr28   PE=11.88
7.5  on  2013Apr25   PE=11.69
8.0  on  2013Apr09   PE=10.21
7.9  on  2013Apr02   PE=10.07
7.8  on  2013Mar17   PE=9.98
7.7  on  2013Mar15   PE=10.04
7.8  on  2013Mar06   PE=10.10
8.4  on  2013Mar03   PE=9.99
8.0  on  2013Feb13   PE=9.95
8.1  on  2013Feb08   PE=9.77
8.0  on  2013Jan31   PE=10.03
7.9  on  2013Jan29   PE=9.88
8.4  on  2013Jan27   PE=9.84
8.5  on  2013Jan24   PE=9.91
8.2  on  2013Jan01   PE=9.52
7.7  on  2013Jan01   PE=9.00
7.6  on  2012Dec28   PE=8.83
9.3  on  2012Dec12   PE=9.03
9.2  on  2012Dec06   PE=8.80
8.1  on  2012Nov29   PE=8.53
4.9  on  2012Nov28   PE=8.77
8.0  on  2012Nov27   PE=8.70
7.0  on  2012Nov22   PE=8.61
7.1  on  2012Nov20   PE=8.52
7.0  on  2012Nov17   PE=8.84
6.9  on  2012Nov15   PE=8.82
7.0  on  2012Nov13   PE=8.86
6.9  on  2012Nov09   PE=9.08
6.8  on  2012Nov07   PE=9.13
7.3  on  2012Nov05   PE=9.54
7.2  on  2012Nov02   PE=9.63</t>
        </r>
      </text>
    </comment>
    <comment ref="L11" authorId="0">
      <text>
        <r>
          <rPr>
            <sz val="10"/>
            <rFont val="Arial"/>
            <family val="2"/>
          </rPr>
          <t xml:space="preserve">Pay date = Jun01 </t>
        </r>
      </text>
    </comment>
    <comment ref="N11" authorId="0">
      <text>
        <r>
          <rPr>
            <sz val="10"/>
            <rFont val="Arial"/>
            <family val="2"/>
          </rPr>
          <t>EPS Q+1= 0.39,  Q-1= 0.40,  Q-2= 0.48,  Q-3= 0.58,  Q-4= 0.54</t>
        </r>
      </text>
    </comment>
    <comment ref="H12" authorId="0">
      <text>
        <r>
          <rPr>
            <sz val="10"/>
            <rFont val="Arial"/>
            <family val="2"/>
          </rPr>
          <t>8.3  on  2013May02 
7.9  on  2013Apr25   PE=13.38
9.2  on  2013Apr09   PE=14.52
9.1  on  2013Apr02   PE=14.88
8.7  on  2013Mar26   PE=14.74
8.8  on  2013Mar22   PE=14.72
8.7  on  2013Mar06   PE=14.46
9.5  on  2013Feb21   PE=13.83
9.6  on  2013Feb13   PE=13.88
9.4  on  2013Feb08   PE=13.86
9.6  on  2013Jan29   PE=14.22
9.5  on  2013Jan24   PE=14.21
9.2  on  2012Dec28   PE=13.66
8.9  on  2012Dec07   PE=13.81
8.5  on  2012Dec06   PE=13.65
7.9  on  2012Nov22   PE=13.92
8.4  on  2012Nov20   PE=13.61
8.3  on  2012Nov13   PE=13.55
8.2  on  2012Nov09   PE=13.64
8.1  on  2012Nov07   PE=13.75
9.1  on  2012Nov02   PE=13.92
9.0  on  2012Oct23   PE=13.99
9.2  on  2012Oct09   PE=15.25
9.7  on  2012Oct02   PE=15.30
9.5  on  2012Aug24   PE=14.22
9.3  on  2012Jul25   PE=13.83
8.4  on  2012Jul20   PE=14.20
8.3  on  2012Jul18   PE=13.68
8.4  on  2012Jul17   PE=13.77
9.4  on  2012Jul12   PE=13.80
9.3  on  2012Jul11   PE=13.88
9.4  on  2012Jul03   PE=14.59</t>
        </r>
      </text>
    </comment>
    <comment ref="L12" authorId="0">
      <text>
        <r>
          <rPr>
            <sz val="10"/>
            <rFont val="Arial"/>
            <family val="2"/>
          </rPr>
          <t xml:space="preserve">Pay date = Jun10 </t>
        </r>
      </text>
    </comment>
    <comment ref="N12" authorId="0">
      <text>
        <r>
          <rPr>
            <sz val="10"/>
            <rFont val="Arial"/>
            <family val="2"/>
          </rPr>
          <t>EPS Q+1= 3.78,  Q-1= 3.00,  Q-2= 5.39,  Q-3= 3.62,  Q-4= 3.51</t>
        </r>
      </text>
    </comment>
    <comment ref="H13" authorId="0">
      <text>
        <r>
          <rPr>
            <sz val="10"/>
            <rFont val="Arial"/>
            <family val="2"/>
          </rPr>
          <t>6.9  on  2013May02 
7.1  on  2013Apr18   PE=19.01
7.0  on  2013Apr09   PE=18.85
6.9  on  2013Mar06   PE=17.88
8.3  on  2013Feb24   PE=17.77
8.4  on  2013Feb21   PE=17.52
8.3  on  2013Feb13   PE=17.74
8.4  on  2013Feb08   PE=17.65
9.0  on  2013Jan29   PE=17.60
7.9  on  2013Jan24   PE=17.44
8.0  on  2013Jan01   PE=17.21
7.8  on  2012Dec28   PE=16.49
7.9  on  2012Dec06   PE=16.59
8.0  on  2012Nov27   PE=16.18
8.1  on  2012Nov13   PE=15.94
8.0  on  2012Nov07   PE=16.36
8.2  on  2012Nov01   PE=16.35
8.1  on  2012Oct31   PE=16.35
8.2  on  2012Oct30   PE=16.33
8.8  on  2012Oct23   PE=16.66
9.0  on  2012Oct17   PE=17.65
9.1  on  2012Oct03   PE=17.06
9.0  on  2012Oct02   PE=17.26
8.9  on  2012Sep30   PE=17.21
8.6  on  2012Sep27   PE=17.49
8.5  on  2012Sep25   PE=17.58
8.6  on  2012Sep19   PE=17.46
8.3  on  2012Sep07   PE=17.08
8.0  on  2012Aug24   PE=16.56
7.6  on  2012Jul26   PE=16.52
7.5  on  2012Jul20   PE=17.31
7.4  on  2012Jul10   PE=16.75</t>
        </r>
      </text>
    </comment>
    <comment ref="L13" authorId="0">
      <text>
        <r>
          <rPr>
            <sz val="10"/>
            <rFont val="Arial"/>
            <family val="2"/>
          </rPr>
          <t xml:space="preserve">Pay date = Mar15 </t>
        </r>
      </text>
    </comment>
    <comment ref="N13" authorId="0">
      <text>
        <r>
          <rPr>
            <sz val="10"/>
            <rFont val="Arial"/>
            <family val="2"/>
          </rPr>
          <t>EPS Q+1= 1.41,  Q-1= 1.26,  Q-2= 1.38,  Q-3= 1.43,  Q-4= 1.32</t>
        </r>
      </text>
    </comment>
    <comment ref="H15" authorId="0">
      <text>
        <r>
          <rPr>
            <sz val="10"/>
            <rFont val="Arial"/>
            <family val="2"/>
          </rPr>
          <t>0.7  on  2013May02 
1.2  on  2013Apr28   PE=15.37
1.1  on  2013Apr02   PE=15.92
2.0  on  2013Mar31   PE=16.32
1.9  on  2013Mar26   PE=15.99
2.8  on  2013Mar19   PE=15.68
2.7  on  2013Mar17   PE=15.87
2.8  on  2013Mar15   PE=16.11
2.7  on  2013Mar10   PE=16.54
2.6  on  2013Mar06   PE=16.53
3.8  on  2013Mar03   PE=16.40
2.6  on  2013Feb24   PE=16.12
2.3  on  2013Feb08   PE=17.71
1.5  on  2013Jan31   PE=17.16
1.6  on  2013Jan24   PE=18.38
1.7  on  2013Jan01   PE=16.58
1.6  on  2012Dec28   PE=16.32
0.9  on  2012Dec27   PE=16.32
3.8  on  2012Dec27   PE=16.32
0.9  on  2012Dec27   PE=16.32
1.0  on  2012Dec06   PE=16.54
1.3  on  2012Nov27   PE=15.75
2.4  on  2012Nov13   PE=14.95
2.3  on  2012Nov07   PE=15.40
4.3  on  2012Nov02   PE=16.88
3.9  on  2012Oct30   PE=16.63
6.5  on  2012Oct26   PE=16.46
6.6  on  2012Oct25   PE=13.16
6.5  on  2012Oct16   PE=12.63
5.3  on  2012Oct14   PE=12.48
5.2  on  2012Oct09   PE=12.63
5.3  on  2012Oct05   PE=12.56</t>
        </r>
      </text>
    </comment>
    <comment ref="L15" authorId="0">
      <text>
        <r>
          <rPr>
            <sz val="10"/>
            <rFont val="Arial"/>
            <family val="2"/>
          </rPr>
          <t xml:space="preserve">Pay date = May21 </t>
        </r>
      </text>
    </comment>
    <comment ref="N15" authorId="0">
      <text>
        <r>
          <rPr>
            <sz val="10"/>
            <rFont val="Arial"/>
            <family val="2"/>
          </rPr>
          <t>EPS Q+1= 0.54,  Q-1= 0.59,  Q-2= 0.63,  Q-3= 0.63,  Q-4= 0.66</t>
        </r>
      </text>
    </comment>
    <comment ref="H16" authorId="0">
      <text>
        <r>
          <rPr>
            <sz val="10"/>
            <rFont val="Arial"/>
            <family val="2"/>
          </rPr>
          <t>7.8  on  2013May02 
7.7  on  2013Apr25   PE=17.37
7.9  on  2013Apr09   PE=18.74
7.8  on  2013Apr02   PE=19.11
7.7  on  2013Mar19   PE=18.97
8.2  on  2013Mar06   PE=19.26
7.6  on  2013Feb21   PE=18.88
7.5  on  2013Feb13   PE=18.88
7.6  on  2013Feb08   PE=18.63
7.7  on  2013Jan24   PE=19.32
7.9  on  2013Jan01   PE=19.17
7.5  on  2012Dec28   PE=17.58
7.4  on  2012Dec12   PE=17.47
7.3  on  2012Dec06   PE=16.96
7.7  on  2012Nov27   PE=16.68
5.8  on  2012Nov25   PE=16.83
5.7  on  2012Nov13   PE=16.65
7.1  on  2012Nov07   PE=16.60
7.4  on  2012Nov02   PE=16.60
7.5  on  2012Oct26   PE=16.69
7.6  on  2012Oct25   PE=16.69
7.5  on  2012Oct23   PE=16.88
7.9  on  2012Oct21   PE=17.04
7.2  on  2012Oct17   PE=18.26
7.1  on  2012Oct16   PE=18.16
7.2  on  2012Oct12   PE=18.04
0.0  on  1899Dec30  PE=18.04</t>
        </r>
      </text>
    </comment>
    <comment ref="L16" authorId="0">
      <text>
        <r>
          <rPr>
            <sz val="10"/>
            <rFont val="Arial"/>
            <family val="2"/>
          </rPr>
          <t xml:space="preserve">Pay date = Apr26 </t>
        </r>
      </text>
    </comment>
    <comment ref="N16" authorId="0">
      <text>
        <r>
          <rPr>
            <sz val="10"/>
            <rFont val="Arial"/>
            <family val="2"/>
          </rPr>
          <t>EPS Q+1= 0.84,  Q-1= 0.75,  Q-2= 0.87,  Q-3= 0.77,  Q-4= 0.84</t>
        </r>
      </text>
    </comment>
    <comment ref="H17" authorId="0">
      <text>
        <r>
          <rPr>
            <sz val="10"/>
            <rFont val="Arial"/>
            <family val="2"/>
          </rPr>
          <t>8.9  on  2013May02 
9.2  on  2013Apr25   PE=8.77
8.9  on  2013Apr18   PE=8.34
9.3  on  2013Apr09   PE=9.38
9.1  on  2013Mar31   PE=9.22
9.2  on  2013Mar26   PE=9.37
9.1  on  2013Mar10   PE=9.73
9.0  on  2013Mar06   PE=9.54
9.2  on  2013Mar03   PE=9.46
9.3  on  2013Feb21   PE=9.37
9.4  on  2013Jan29   PE=8.99
9.3  on  2013Jan27   PE=9.09
9.2  on  2013Jan24   PE=8.91
7.4  on  2013Jan01   PE=9.82
7.7  on  2013Jan01   PE=9.36
9.0  on  2012Dec28   PE=9.20
9.2  on  2012Dec27   PE=9.20
9.1  on  2012Dec09   PE=9.00
9.2  on  2012Dec07   PE=9.06
9.1  on  2012Dec06   PE=8.82
9.2  on  2012Nov20   PE=8.66
9.1  on  2012Nov14   PE=8.36
9.2  on  2012Nov13   PE=8.52
9.1  on  2012Nov02   PE=9.03
9.0  on  2012Oct23   PE=8.96
8.8  on  2012Oct16   PE=9.02
8.2  on  2012Oct09   PE=9.64
7.6  on  2012Oct02   PE=9.48
7.7  on  2012Sep27   PE=9.31
7.6  on  2012Sep19   PE=9.55
8.5  on  2012Sep12   PE=9.17
9.5  on  2012Aug24   PE=8.62</t>
        </r>
      </text>
    </comment>
    <comment ref="L17" authorId="0">
      <text>
        <r>
          <rPr>
            <sz val="10"/>
            <rFont val="Arial"/>
            <family val="2"/>
          </rPr>
          <t xml:space="preserve">Pay date = Jul31 </t>
        </r>
      </text>
    </comment>
    <comment ref="N17" authorId="0">
      <text>
        <r>
          <rPr>
            <sz val="10"/>
            <rFont val="Arial"/>
            <family val="2"/>
          </rPr>
          <t>EPS Q+1= 1.38,  Q-1= 1.59,  Q-2= 1.39,  Q-3= 1.40,  Q-4= 1.21</t>
        </r>
      </text>
    </comment>
    <comment ref="H18" authorId="0">
      <text>
        <r>
          <rPr>
            <sz val="10"/>
            <rFont val="Arial"/>
            <family val="2"/>
          </rPr>
          <t>5.4  on  2013May02
5.3  on  2013Apr28   PE=7.54
4.1  on  2013Apr25   PE=7.45
8.4  on  2013Apr09   PE=7.51
8.5  on  2013Mar31   PE=7.46
8.6  on  2013Mar15   PE=7.53
8.5  on  2013Mar06   PE=7.34
8.6  on  2013Mar03   PE=7.25
8.7  on  2013Feb21   PE=7.38
4.5  on  2013Feb13   PE=7.35
3.6  on  2013Jan31   PE=10.50
3.7  on  2013Jan27   PE=10.37
5.3  on  2013Jan01   PE=10.25
6.4  on  2013Jan01   PE=9.57
6.3  on  2012Dec28   PE=9.60
3.8  on  2012Dec02   PE=10.47
3.9  on  2012Nov30   PE=10.45
3.8  on  2012Nov27   PE=10.38
4.0  on  2012Nov20   PE=10.33
3.9  on  2012Nov09   PE=10.21
3.8  on  2012Nov07   PE=10.18
7.2  on  2012Nov02   PE=10.75
5.9  on  2012Oct26   PE=7.76
6.0  on  2012Oct25   PE=7.80
5.9  on  2012Oct21   PE=7.94
6.0  on  2012Oct12   PE=7.98
5.9  on  2012Oct09   PE=8.32
3.2  on  2012Oct05   PE=8.39
4.0  on  2012Oct02   PE=8.33
4.6  on  2012Sep25   PE=8.40
4.7  on  2012Sep19   PE=8.75</t>
        </r>
      </text>
    </comment>
    <comment ref="L18" authorId="0">
      <text>
        <r>
          <rPr>
            <sz val="10"/>
            <rFont val="Arial"/>
            <family val="2"/>
          </rPr>
          <t xml:space="preserve">Pay date = Apr26 </t>
        </r>
      </text>
    </comment>
    <comment ref="N18" authorId="0">
      <text>
        <r>
          <rPr>
            <sz val="10"/>
            <rFont val="Arial"/>
            <family val="2"/>
          </rPr>
          <t>EPS Q+1= 1.00,  Q-1= 0.64,  Q-2= 2.37,  Q-3= 0.25,  Q-4= -0.88</t>
        </r>
      </text>
    </comment>
    <comment ref="H19" authorId="0">
      <text>
        <r>
          <rPr>
            <sz val="10"/>
            <rFont val="Arial"/>
            <family val="2"/>
          </rPr>
          <t>9.6  on  2013May02 
9.7  on  2013Apr25   PE=9.55
9.6  on  2013Mar31   PE=10.70
9.8  on  2013Mar22   PE=10.42
9.7  on  2013Mar06   PE=10.15
9.8  on  2013Mar03   PE=10.14
9.3  on  2013Feb21   PE=9.67
9.4  on  2013Jan29   PE=6.69
9.5  on  2013Jan24   PE=6.50
9.8  on  2013Jan01   PE=6.22
9.7  on  2012Dec28   PE=5.92
9.8  on  2012Oct30   PE=6.18
9.7  on  2012Oct12   PE=5.81
9.8  on  2012Oct05   PE=5.91
9.7  on  2012Sep07   PE=5.76
9.8  on  2012Aug24   PE=5.88
6.8  on  2012Jul26 
6.6  on  2012Jul25 
6.7  on  2012Jul03 
6.8  on  2012Jun27
7.0  on  2012Jun26
6.9  on  2012Jun24
6.8  on  2012Jun21
6.9  on  2012Jun9
6.8  on  2012Jun2
6.0  on  2012May30
6.1  on  2012May29
6.0  on  2012May23</t>
        </r>
      </text>
    </comment>
    <comment ref="L19" authorId="0">
      <text>
        <r>
          <rPr>
            <sz val="10"/>
            <rFont val="Arial"/>
            <family val="2"/>
          </rPr>
          <t xml:space="preserve">Pay date = Mar01 </t>
        </r>
      </text>
    </comment>
    <comment ref="M19" authorId="0">
      <text>
        <r>
          <rPr>
            <sz val="10"/>
            <rFont val="Arial"/>
            <family val="2"/>
          </rPr>
          <t>Before Opens</t>
        </r>
      </text>
    </comment>
    <comment ref="N19" authorId="0">
      <text>
        <r>
          <rPr>
            <sz val="10"/>
            <rFont val="Arial"/>
            <family val="2"/>
          </rPr>
          <t>EPS Q+1= 2.20,  Q-1= 2.19,  Q-2= 2.06,  Q-3= 2.97,  Q-4= 2.23</t>
        </r>
      </text>
    </comment>
    <comment ref="H20" authorId="0">
      <text>
        <r>
          <rPr>
            <sz val="10"/>
            <rFont val="Arial"/>
            <family val="2"/>
          </rPr>
          <t>8.6  on  2013May02 
8.7  on  2013Apr28   PE=15.10
8.4  on  2013Apr25   PE=15.03
8.3  on  2013Apr18   PE=14.38
8.4  on  2013Apr09   PE=14.44
8.3  on  2013Apr02   PE=14.43
8.2  on  2013Mar15   PE=14.94
8.5  on  2013Mar06   PE=14.47
7.4  on  2013Mar03   PE=14.33
7.6  on  2013Feb13   PE=15.79
7.7  on  2013Feb08   PE=15.54
7.6  on  2013Jan27   PE=15.47
7.5  on  2013Jan24   PE=15.46
7.6  on  2013Jan01   PE=14.50
7.8  on  2012Dec27   PE=14.80
7.9  on  2012Dec06   PE=14.05
8.5  on  2012Nov27   PE=14.01
7.3  on  2012Nov22   PE=14.13
7.4  on  2012Nov20   PE=13.91
7.3  on  2012Nov14   PE=13.71
7.1  on  2012Nov13   PE=13.92
6.9  on  2012Nov02   PE=14.00
6.6  on  2012Oct30   PE=12.59
6.7  on  2012Oct24   PE=12.38
6.6  on  2012Oct23   PE=12.57
6.5  on  2012Oct21   PE=12.61
6.6  on  2012Oct16   PE=12.27
6.7  on  2012Oct14   PE=12.42
6.6  on  2012Oct10   PE=12.88
6.5  on  2012Oct09   PE=12.97
7.8  on  2012Oct02   PE=13.03
7.4  on  2012Sep25   PE=13.00</t>
        </r>
      </text>
    </comment>
    <comment ref="L20" authorId="0">
      <text>
        <r>
          <rPr>
            <sz val="10"/>
            <rFont val="Arial"/>
            <family val="2"/>
          </rPr>
          <t xml:space="preserve">Pay date = Apr05 </t>
        </r>
      </text>
    </comment>
    <comment ref="N20" authorId="0">
      <text>
        <r>
          <rPr>
            <sz val="10"/>
            <rFont val="Arial"/>
            <family val="2"/>
          </rPr>
          <t>EPS Q+1= 0.67,  Q-1= 0.68,  Q-2= 0.64,  Q-3= 0.72,  Q-4= 0.68</t>
        </r>
      </text>
    </comment>
    <comment ref="H21" authorId="0">
      <text>
        <r>
          <rPr>
            <sz val="10"/>
            <rFont val="Arial"/>
            <family val="2"/>
          </rPr>
          <t>9.9  on  2013Apr18   PE=8.68
9.8  on  2013Apr09   PE=8.91
9.7  on  2013Apr02   PE=8.93
9.8  on  2013Mar26   PE=9.08
9.7  on  2013Mar06   PE=8.85
9.2  on  2013Feb13   PE=8.75
9.5  on  2013Feb08   PE=8.64
9.3  on  2013Jan31   PE=9.55
9.2  on  2013Jan29   PE=9.51
9.3  on  2013Jan24   PE=9.43
8.8  on  2013Jan01   PE=9.05
9.0  on  2012Dec28   PE=8.73
9.1  on  2012Dec06   PE=8.73
9.3  on  2012Nov27   PE=8.47
9.4  on  2012Nov20   PE=8.49
9.3  on  2012Nov16   PE=8.39
9.4  on  2012Nov14   PE=8.40
9.3  on  2012Nov13   PE=8.63
9.9  on  2012Aug24   PE=8.29
9.8  on  2012Jul03   PE=7.77
9.6  on  2012Jun26  PE=7.27
9.7  on  2012Jun14  PE=7.35
9.6  on  2012Jun2  PE=7.08
9.4  on  2012May30  PE=7.36
9.3  on  2012May29  PE=7.26
9.5  on  2012May23  PE=7.29
9.4  on  2012May22
9.3  on  2012May8
9.2  on  2012May2
8.9  on  2012May1
9.4  on  2012Apr20
9.9  on  2012Apr19</t>
        </r>
      </text>
    </comment>
    <comment ref="L21" authorId="0">
      <text>
        <r>
          <rPr>
            <sz val="10"/>
            <rFont val="Arial"/>
            <family val="2"/>
          </rPr>
          <t xml:space="preserve">Pay date = Jun10 </t>
        </r>
      </text>
    </comment>
    <comment ref="M21" authorId="0">
      <text>
        <r>
          <rPr>
            <sz val="10"/>
            <rFont val="Arial"/>
            <family val="2"/>
          </rPr>
          <t>Before Market Open</t>
        </r>
      </text>
    </comment>
    <comment ref="N21" authorId="0">
      <text>
        <r>
          <rPr>
            <sz val="10"/>
            <rFont val="Arial"/>
            <family val="2"/>
          </rPr>
          <t>EPS Q+1= 3.10,  Q-1= 3.18,  Q-2= 3.27,  Q-3= 2.57,  Q-4= 3.56</t>
        </r>
      </text>
    </comment>
    <comment ref="H22" authorId="0">
      <text>
        <r>
          <rPr>
            <sz val="10"/>
            <rFont val="Arial"/>
            <family val="2"/>
          </rPr>
          <t>9.0  on  2013May02 
9.1  on  2013Apr09   PE=10.18
9.0  on  2013Apr02   PE=10.23
8.4  on  2013Mar31   PE=10.30
8.9  on  2013Mar26   PE=10.30
9.4  on  2013Mar19   PE=10.10
9.5  on  2013Mar15   PE=10.06
8.9  on  2013Mar06   PE=9.88
9.5  on  2013Mar03   PE=9.82
9.3  on  2013Feb21   PE=9.82
9.1  on  2013Feb08   PE=9.82
9.2  on  2013Jan29   PE=10.99
9.3  on  2013Jan24   PE=10.77
9.7  on  2012Dec28   PE=10.32
9.4  on  2012Dec06   PE=10.37
9.3  on  2012Dec02   PE=10.34
9.2  on  2012Nov28   PE=10.32
9.3  on  2012Nov27   PE=10.16
8.8  on  2012Nov20   PE=10.06
9.1  on  2012Nov14   PE=9.90
8.8  on  2012Nov13   PE=10.01
9.7  on  2012Nov07   PE=10.27
6.9  on  2012Nov02   PE=10.42
6.5  on  2012Oct30   PE=10.36
7.5  on  2012Oct24   PE=10.89
7.4  on  2012Oct23   PE=11.08
9.2  on  2012Oct12   PE=11.00
9.1  on  2012Oct09   PE=11.19
8.7  on  2012Oct05   PE=11.15
8.8  on  2012Oct03   PE=11.14
8.7  on  2012Sep25   PE=11.25
9.0  on  2012Sep19   PE=11.23</t>
        </r>
      </text>
    </comment>
    <comment ref="L22" authorId="0">
      <text>
        <r>
          <rPr>
            <sz val="10"/>
            <rFont val="Arial"/>
            <family val="2"/>
          </rPr>
          <t xml:space="preserve">Pay date = Mar01 </t>
        </r>
      </text>
    </comment>
    <comment ref="M22" authorId="0">
      <text>
        <r>
          <rPr>
            <sz val="10"/>
            <rFont val="Arial"/>
            <family val="2"/>
          </rPr>
          <t>After Market Close</t>
        </r>
      </text>
    </comment>
    <comment ref="N22" authorId="0">
      <text>
        <r>
          <rPr>
            <sz val="10"/>
            <rFont val="Arial"/>
            <family val="2"/>
          </rPr>
          <t>EPS Q+1= 1.29,  Q-1= 1.42,  Q-2= 1.43,  Q-3= 1.44,  Q-4= 1.22</t>
        </r>
      </text>
    </comment>
    <comment ref="H23" authorId="0">
      <text>
        <r>
          <rPr>
            <sz val="10"/>
            <rFont val="Arial"/>
            <family val="2"/>
          </rPr>
          <t>9.2  on  2013May02 
8.3  on  2013Apr09   PE=9.71
8.4  on  2013Mar19   PE=9.92
8.2  on  2013Mar06   PE=9.26
8.3  on  2013Mar03   PE=8.91
7.6  on  2013Feb21   PE=8.73
7.7  on  2013Feb13   PE=8.85
8.5  on  2013Feb08   PE=8.82
8.9  on  2013Jan29   PE=8.53
9.0  on  2013Jan24   PE=8.70
8.4  on  2013Jan01   PE=9.08
9.5  on  2012Dec28   PE=8.52
9.4  on  2012Dec06   PE=9.35
9.5  on  2012Nov20   PE=9.51
9.1  on  2012Nov16   PE=9.09
9.2  on  2012Nov14   PE=9.21
9.6  on  2012Nov13   PE=9.49
9.5  on  2012Oct30   PE=9.27
9.4  on  2012Oct23   PE=9.21
9.5  on  2012Oct16   PE=9.08
9.4  on  2012Oct02   PE=9.20
7.3  on  2012Sep26   PE=8.73
7.4  on  2012Sep07   PE=8.93
8.9  on  2012Aug24   PE=8.84
7.9  on  2012Jul26   PE=7.93
9.4  on  2012Jul17   PE=8.16
7.9  on  2012Jul13   PE=8.01
7.8  on  2012Jul12   PE=8.04
8.1  on  2012Jul10   PE=8.12
8.5  on  2012Jul03   PE=8.10
8.0  on  2012Jun26  PE=7.80
9.0  on  2012Jun24  PE=7.80</t>
        </r>
      </text>
    </comment>
    <comment ref="L23" authorId="0">
      <text>
        <r>
          <rPr>
            <sz val="10"/>
            <rFont val="Arial"/>
            <family val="2"/>
          </rPr>
          <t xml:space="preserve">Pay date = May23 </t>
        </r>
      </text>
    </comment>
    <comment ref="N23" authorId="0">
      <text>
        <r>
          <rPr>
            <sz val="10"/>
            <rFont val="Arial"/>
            <family val="2"/>
          </rPr>
          <t>EPS Q+1= 1.14,  Q-1= 1.33,  Q-2= 0.00,  Q-3= 1.07,  Q-4= 1.21</t>
        </r>
      </text>
    </comment>
    <comment ref="H24" authorId="0">
      <text>
        <r>
          <rPr>
            <sz val="10"/>
            <rFont val="Arial"/>
            <family val="2"/>
          </rPr>
          <t>6.4  on  2013May02 
6.1  on  2013Apr28   PE=21.99
6.2  on  2013Apr25   PE=21.86
5.0  on  2013Apr18   PE=20.55
4.8  on  2013Apr09   PE=20.61
4.5  on  2013Apr04   PE=20.36
4.4  on  2013Apr02   PE=20.69
4.5  on  2013Mar26   PE=20.74
7.2  on  2013Mar15   PE=20.98
7.1  on  2013Mar06   PE=20.95
7.0  on  2013Mar03   PE=20.66
5.7  on  2013Feb21   PE=19.13
5.3  on  2013Feb13   PE=9.27
4.0  on  2013Feb08   PE=9.08
0.0  on  2013Feb8  PE=9.08</t>
        </r>
      </text>
    </comment>
    <comment ref="L24" authorId="0">
      <text>
        <r>
          <rPr>
            <sz val="10"/>
            <rFont val="Arial"/>
            <family val="2"/>
          </rPr>
          <t xml:space="preserve">Pay date = Jan17 </t>
        </r>
      </text>
    </comment>
    <comment ref="M24" authorId="0">
      <text>
        <r>
          <rPr>
            <sz val="10"/>
            <rFont val="Arial"/>
            <family val="2"/>
          </rPr>
          <t xml:space="preserve">Pay date = Jan17 </t>
        </r>
      </text>
    </comment>
    <comment ref="N24" authorId="0">
      <text>
        <r>
          <rPr>
            <sz val="10"/>
            <rFont val="Arial"/>
            <family val="2"/>
          </rPr>
          <t>EPS Q+1= 0.42,  Q-1= 0.27,  Q-2= 0.40,  Q-3= 0.41,  Q-4= 0.35</t>
        </r>
      </text>
    </comment>
    <comment ref="A25" authorId="0">
      <text>
        <r>
          <rPr>
            <sz val="10"/>
            <rFont val="Arial"/>
            <family val="2"/>
          </rPr>
          <t>PIMCO Fiscal Cliff ~ Stable</t>
        </r>
      </text>
    </comment>
    <comment ref="H26" authorId="0">
      <text>
        <r>
          <rPr>
            <sz val="10"/>
            <rFont val="Arial"/>
            <family val="2"/>
          </rPr>
          <t>8.2  on  2013May02 
9.1  on  2013Apr25   PE=15.35
9.5  on  2013Mar31   PE=16.60
9.2  on  2013Mar26   PE=16.63
9.1  on  2013Mar06   PE=16.97
8.9  on  2013Mar03   PE=16.74
8.4  on  2013Feb21   PE=16.84
7.9  on  2013Feb08   PE=16.17
7.8  on  2013Jan29   PE=16.19
6.8  on  2013Jan24   PE=15.78
5.6  on  2013Jan01   PE=15.68
5.8  on  2013Jan01   PE=15.55
5.7  on  2012Dec28   PE=15.14
6.0  on  2012Dec12   PE=16.13
5.9  on  2012Dec09   PE=15.84
5.2  on  2012Dec06   PE=15.83
5.5  on  2012Dec02   PE=15.42
5.4  on  2012Nov28  PE=15.42</t>
        </r>
      </text>
    </comment>
    <comment ref="L26" authorId="0">
      <text>
        <r>
          <rPr>
            <sz val="10"/>
            <rFont val="Arial"/>
            <family val="2"/>
          </rPr>
          <t xml:space="preserve">Pay date = Apr25 </t>
        </r>
      </text>
    </comment>
    <comment ref="N26" authorId="0">
      <text>
        <r>
          <rPr>
            <sz val="10"/>
            <rFont val="Arial"/>
            <family val="2"/>
          </rPr>
          <t>EPS Q+1= 0.36,  Q-1= 0.35,  Q-2= 0.44,  Q-3= 0.36,  Q-4= 0.38</t>
        </r>
      </text>
    </comment>
    <comment ref="A27" authorId="0">
      <text>
        <r>
          <rPr>
            <sz val="10"/>
            <rFont val="Arial"/>
            <family val="2"/>
          </rPr>
          <t>$1.7b</t>
        </r>
      </text>
    </comment>
    <comment ref="H27" authorId="0">
      <text>
        <r>
          <rPr>
            <sz val="10"/>
            <rFont val="Arial"/>
            <family val="2"/>
          </rPr>
          <t>7.6  on  2013May02 
7.9  on  2013Apr28   PE=17.24
7.2  on  2013Apr25   PE=16.81
6.4  on  2013Apr18   PE=16.51
6.3  on  2013Apr09   PE=18.79
6.1  on  2013Mar26   PE=19.15
7.8  on  2013Mar22   PE=18.48
6.9  on  2013Mar19   PE=18.31
7.0  on  2013Mar17   PE=18.40
6.9  on  2013Mar10   PE=17.51
6.8  on  2013Mar06   PE=16.73
6.3  on  2013Mar03   PE=16.33
5.5  on  2013Feb24   PE=16.39
5.4  on  2013Feb21   PE=15.72
9.0  on  2013Feb08   PE=17.23
9.1  on  2013Jan27   PE=16.85
9.2  on  2013Jan24   PE=16.28
8.7  on  2013Jan01   PE=15.13
8.4  on  2012Dec06   PE=12.48
8.7  on  2012Nov28   PE=12.98
9.0  on  2012Nov22   PE=13.49
5.1  on  2012Nov20   PE=13.20
3.8  on  2012Nov15   PE=12.70
3.9  on  2012Nov13   PE=13.03
4.6  on  2012Nov09   PE=13.20
4.5  on  2012Nov07   PE=13.57
4.2  on  2012Nov05   PE=12.72
4.3  on  2012Nov02   PE=12.41
3.9  on  2012Nov01   PE=12.67
4.0  on  2012Oct30   PE=11.93
4.9  on  2012Oct24   PE=11.79
8.3  on  2012Oct23   PE=12.28</t>
        </r>
      </text>
    </comment>
    <comment ref="N27" authorId="0">
      <text>
        <r>
          <rPr>
            <sz val="10"/>
            <rFont val="Arial"/>
            <family val="2"/>
          </rPr>
          <t>EPS Q+1= 0.21,  Q-1= 0.13,  Q-2= 0.12,  Q-3= 0.18,  Q-4= 0.21</t>
        </r>
      </text>
    </comment>
    <comment ref="H28" authorId="0">
      <text>
        <r>
          <rPr>
            <sz val="10"/>
            <rFont val="Arial"/>
            <family val="2"/>
          </rPr>
          <t>6.1  on  2013May02 
6.3  on  2013Apr25   PE=11.37
6.1  on  2013Apr18   PE=9.48
6.0  on  2013Apr09   PE=10.12
5.9  on  2013Apr02   PE=10.00
5.8  on  2013Mar31   PE=10.09
6.0  on  2013Mar19   PE=10.40
6.1  on  2013Mar06   PE=10.63
4.3  on  2013Mar03   PE=10.57
6.9  on  2013Feb24   PE=10.78
7.0  on  2013Feb08   PE=11.32
8.7  on  2013Jan24   PE=9.91
9.5  on  2012Dec28   PE=8.89
9.2  on  2012Dec09   PE=8.93
8.8  on  2012Dec06   PE=8.80
8.3  on  2012Nov27   PE=8.60
8.7  on  2012Nov20   PE=8.53
8.2  on  2012Nov17   PE=8.56
8.3  on  2012Nov15   PE=8.39
8.2  on  2012Nov14   PE=8.30
8.3  on  2012Nov13   PE=8.52
8.1  on  2012Nov07   PE=8.70
7.7  on  2012Nov02   PE=8.78
7.5  on  2012Oct30   PE=8.62
7.8  on  2012Oct23   PE=8.71
7.9  on  2012Oct12   PE=9.27
8.0  on  2012Oct09   PE=9.56
8.3  on  2012Oct02   PE=9.56
9.0  on  2012Sep25   PE=10.16
9.4  on  2012Sep21   PE=10.35
9.3  on  2012Sep19   PE=10.41
9.0  on  2012Sep07   PE=9.85</t>
        </r>
      </text>
    </comment>
    <comment ref="L28" authorId="0">
      <text>
        <r>
          <rPr>
            <sz val="10"/>
            <rFont val="Arial"/>
            <family val="2"/>
          </rPr>
          <t xml:space="preserve">Pay date = May20 </t>
        </r>
      </text>
    </comment>
    <comment ref="M28" authorId="0">
      <text>
        <r>
          <rPr>
            <sz val="10"/>
            <rFont val="Arial"/>
            <family val="2"/>
          </rPr>
          <t>Before opens</t>
        </r>
      </text>
    </comment>
    <comment ref="N28" authorId="0">
      <text>
        <r>
          <rPr>
            <sz val="10"/>
            <rFont val="Arial"/>
            <family val="2"/>
          </rPr>
          <t>EPS Q+1= 1.76,  Q-1= 1.31,  Q-2= 1.46,  Q-3= 2.54,  Q-4= 2.54</t>
        </r>
      </text>
    </comment>
    <comment ref="H29" authorId="0">
      <text>
        <r>
          <rPr>
            <sz val="10"/>
            <rFont val="Arial"/>
            <family val="2"/>
          </rPr>
          <t>9.6  on  2013May02 
9.7  on  2013Apr25   PE=18.09
9.8  on  2013Apr18   PE=18.26
9.7  on  2013Apr02   PE=17.88
9.6  on  2013Mar26   PE=17.81
9.4  on  2013Mar15   PE=17.06
7.8  on  2013Mar03   PE=17.14
7.9  on  2013Feb21   PE=16.78
8.8  on  2013Feb08   PE=15.67
9.7  on  2013Jan29   PE=15.40
9.8  on  2013Jan01   PE=15.35
9.7  on  2013Jan01   PE=14.92
9.4  on  2012Dec28   PE=14.78
7.9  on  2012Dec27   PE=14.78
7.8  on  2012Dec09   PE=16.02
7.9  on  2012Dec06   PE=15.91
8.1  on  2012Nov20   PE=15.79
8.8  on  2012Nov13   PE=15.37
8.7  on  2012Nov09   PE=15.38
8.8  on  2012Oct30   PE=15.57
9.7  on  2012Oct09   PE=15.55
9.4  on  2012Oct05   PE=15.75
9.3  on  2012Oct03   PE=15.67
9.4  on  2012Oct02   PE=15.61
8.8  on  2012Sep26   PE=15.67
8.5  on  2012Sep25   PE=15.71
6.7  on  2012Sep19   PE=16.73
6.6  on  2012Sep07   PE=16.70
8.7  on  2012Aug24   PE=16.31
5.2  on  2012Jul26   PE=16.15
5.1  on  2012Jul25   PE=16.13
5.3  on  2012Jul20   PE=16.59</t>
        </r>
      </text>
    </comment>
    <comment ref="L29" authorId="0">
      <text>
        <r>
          <rPr>
            <sz val="10"/>
            <rFont val="Arial"/>
            <family val="2"/>
          </rPr>
          <t xml:space="preserve">Pay date = Aug01 </t>
        </r>
      </text>
    </comment>
    <comment ref="N29" authorId="0">
      <text>
        <r>
          <rPr>
            <sz val="10"/>
            <rFont val="Arial"/>
            <family val="2"/>
          </rPr>
          <t>EPS Q+1= 0.54,  Q-1= 0.00,  Q-2= 0.86,  Q-3= 0.66,  Q-4= 0.60</t>
        </r>
      </text>
    </comment>
    <comment ref="H30" authorId="0">
      <text>
        <r>
          <rPr>
            <sz val="10"/>
            <rFont val="Arial"/>
            <family val="2"/>
          </rPr>
          <t>2.2  on  2013May02 
2.1  on  2013Apr25   PE=17.30
3.9  on  2013Apr18   PE=16.89
2.6  on  2013Apr09   PE=16.66
3.4  on  2013Mar19   PE=16.19
2.8  on  2013Mar06   PE=16.33
3.5  on  2013Mar03   PE=16.42
3.8  on  2013Feb21   PE=15.28
3.4  on  2013Feb13   PE=15.70
3.5  on  2013Feb08   PE=15.59
3.7  on  2013Jan27   PE=16.31
3.8  on  2013Jan24   PE=16.19
5.4  on  2013Jan01   PE=15.89
5.6  on  2013Jan01   PE=17.71
5.9  on  2012Dec28   PE=17.51
5.4  on  2012Dec06   PE=19.57
5.5  on  2012Nov27   PE=19.26
5.6  on  2012Nov25   PE=19.39
5.5  on  2012Nov20   PE=19.24
5.6  on  2012Nov13   PE=18.39
5.4  on  2012Nov09   PE=18.58
5.3  on  2012Nov02   PE=18.42
5.1  on  2012Oct30   PE=18.32
5.4  on  2012Oct21   PE=18.18
5.5  on  2012Oct17   PE=19.14
5.4  on  2012Oct09   PE=19.16
4.3  on  2012Oct05   PE=19.18
4.4  on  2012Oct03   PE=18.59
4.3  on  2012Oct02   PE=18.42
4.4  on  2012Sep30   PE=18.68
4.5  on  2012Sep27   PE=18.09
4.4  on  2012Sep25   PE=18.19</t>
        </r>
      </text>
    </comment>
    <comment ref="L30" authorId="0">
      <text>
        <r>
          <rPr>
            <sz val="10"/>
            <rFont val="Arial"/>
            <family val="2"/>
          </rPr>
          <t xml:space="preserve">Pay date = Apr15 </t>
        </r>
      </text>
    </comment>
    <comment ref="N30" authorId="0">
      <text>
        <r>
          <rPr>
            <sz val="10"/>
            <rFont val="Arial"/>
            <family val="2"/>
          </rPr>
          <t>EPS Q+1= 1.03,  Q-1= 1.21,  Q-2= 0.69,  Q-3= 0.75,  Q-4= 1.06</t>
        </r>
      </text>
    </comment>
    <comment ref="H31" authorId="0">
      <text>
        <r>
          <rPr>
            <sz val="10"/>
            <rFont val="Arial"/>
            <family val="2"/>
          </rPr>
          <t>7.4  on  2013Apr25   PE=12.90
7.8  on  2013Apr18   PE=12.27
7.3  on  2013Apr04   PE=12.80
7.2  on  2013Apr02   PE=13.03
7.3  on  2013Mar31   PE=13.06
7.4  on  2013Mar22   PE=12.86
7.3  on  2013Mar19   PE=12.34
9.3  on  2013Mar15   PE=12.49
8.0  on  2013Mar06   PE=14.41
9.0  on  2013Mar03   PE=14.14
8.9  on  2013Feb21   PE=14.08
8.7  on  2013Jan31   PE=14.10
9.1  on  2013Jan29   PE=14.07
9.2  on  2013Jan27 
9.1  on  2013Jan24   PE=13.71
9.2  on  2013Jan01   PE=13.73
9.5  on  2013Jan01   PE=13.16
9.8  on  2012Dec28   PE=13.03
9.7  on  2012Dec06   PE=14.42
9.8  on  2012Dec02   PE=14.55
9.7  on  2012Nov27   PE=14.12
9.6  on  2012Nov25   PE=14.30
9.5  on  2012Nov20   PE=13.83
9.1  on  2012Nov13   PE=14.96
9.2  on  2012Nov09   PE=14.95
9.1  on  2012Nov07   PE=15.58
8.6  on  2012Nov02   PE=15.58
8.5  on  2012Oct30   PE=15.36
8.6  on  2012Oct16   PE=16.15
9.5  on  2012Oct09   PE=16.29
9.4  on  2012Sep07   PE=16.72
9.1  on  2012Aug24   PE=15.61</t>
        </r>
      </text>
    </comment>
    <comment ref="L31" authorId="0">
      <text>
        <r>
          <rPr>
            <sz val="10"/>
            <rFont val="Arial"/>
            <family val="2"/>
          </rPr>
          <t xml:space="preserve">Pay date = May03 </t>
        </r>
      </text>
    </comment>
    <comment ref="N31" authorId="0">
      <text>
        <r>
          <rPr>
            <sz val="10"/>
            <rFont val="Arial"/>
            <family val="2"/>
          </rPr>
          <t>EPS Q+1= 0.87,  Q-1= 0.73,  Q-2= 0.63,  Q-3= 0.38,  Q-4= 0.83</t>
        </r>
      </text>
    </comment>
    <comment ref="H32" authorId="0">
      <text>
        <r>
          <rPr>
            <sz val="10"/>
            <rFont val="Arial"/>
            <family val="2"/>
          </rPr>
          <t>8.8  on  2013May02 
8.0  on  2013Apr25   PE=11.57
8.1  on  2013Apr18   PE=11.64
8.0  on  2013Apr09   PE=11.78
7.9  on  2013Apr02   PE=11.69
8.0  on  2013Mar22   PE=10.31
7.9  on  2013Mar17   PE=10.42
8.0  on  2013Mar15   PE=10.37
7.9  on  2013Mar06   PE=10.13
9.0  on  2013Mar03   PE=10.10
8.4  on  2013Feb21   PE=10.46
8.3  on  2013Feb13   PE=10.80
8.2  on  2013Feb08   PE=10.80
7.4  on  2013Jan29   PE=10.57
9.3  on  2013Jan24   PE=10.59
9.8  on  2013Jan01   PE=10.12
8.4  on  2012Dec28   PE=10.26
9.8  on  2012Nov20   PE=10.12
9.9  on  2012Oct23   PE=10.77
9.7  on  2012Oct21   PE=10.60
9.5  on  2012Oct16   PE=11.68
9.4  on  2012Oct02   PE=11.48
9.3  on  2012Sep25   PE=11.38
8.5  on  2012Sep19   PE=11.21
8.7  on  2012Sep12 
8.8  on  2012Sep07   PE=11.15
9.3  on  2012Aug24   PE=10.96
9.9  on  2012Jul26   PE=10.67
9.8  on  2012Jul17   PE=11.47
9.7  on  2012Jul11   PE=11.58
9.8  on  2012Jul10   PE=11.66
9.5  on  2012Jun27  PE=12.22</t>
        </r>
      </text>
    </comment>
    <comment ref="L32" authorId="0">
      <text>
        <r>
          <rPr>
            <sz val="10"/>
            <rFont val="Arial"/>
            <family val="2"/>
          </rPr>
          <t xml:space="preserve">Pay date = Mar26 </t>
        </r>
      </text>
    </comment>
    <comment ref="N32" authorId="0">
      <text>
        <r>
          <rPr>
            <sz val="10"/>
            <rFont val="Arial"/>
            <family val="2"/>
          </rPr>
          <t>EPS Q+1= 1.25,  Q-1= 1.16,  Q-2= 1.20,  Q-3= 1.50,  Q-4= 1.27</t>
        </r>
      </text>
    </comment>
    <comment ref="H33" authorId="0">
      <text>
        <r>
          <rPr>
            <sz val="10"/>
            <rFont val="Arial"/>
            <family val="2"/>
          </rPr>
          <t>6.7  on  2013May02 
6.4  on  2013Apr25   PE=14.08
4.1  on  2013Apr18   PE=13.68
4.0  on  2013Apr02   PE=14.94
4.2  on  2013Mar26   PE=14.97
5.1  on  2013Mar19   PE=14.89
5.0  on  2013Mar15   PE=14.82
7.1  on  2013Mar06   PE=14.34
7.0  on  2013Mar03   PE=14.14
7.6  on  2013Feb13   PE=14.21
5.5  on  2013Jan29   PE=14.86
2.7  on  2013Jan01   PE=15.14
2.9  on  2013Jan01   PE=14.91
2.8  on  2012Dec28   PE=14.67
1.3  on  2012Dec12   PE=14.55
2.7  on  2012Dec06   PE=14.28
2.6  on  2012Nov29  PE=14.28</t>
        </r>
      </text>
    </comment>
    <comment ref="L33" authorId="0">
      <text>
        <r>
          <rPr>
            <sz val="10"/>
            <rFont val="Arial"/>
            <family val="2"/>
          </rPr>
          <t xml:space="preserve">Pay date = Jan31 </t>
        </r>
      </text>
    </comment>
    <comment ref="N33" authorId="0">
      <text>
        <r>
          <rPr>
            <sz val="10"/>
            <rFont val="Arial"/>
            <family val="2"/>
          </rPr>
          <t>EPS Q+1= 1.91,  Q-1= 1.96,  Q-2= 1.73,  Q-3= 1.51,  Q-4= 2.19</t>
        </r>
      </text>
    </comment>
    <comment ref="H34" authorId="0">
      <text>
        <r>
          <rPr>
            <sz val="10"/>
            <rFont val="Arial"/>
            <family val="2"/>
          </rPr>
          <t>5.9  on  2013May02 
5.7  on  2013Apr25   PE=20.06
5.6  on  2013Apr18   PE=19.41
7.2  on  2013Apr09   PE=19.14
7.1  on  2013Apr04   PE=18.64
7.0  on  2013Mar26   PE=18.33
7.1  on  2013Mar22   PE=18.38
7.0  on  2013Mar19   PE=18.22
7.1  on  2013Mar17   PE=18.39
7.0  on  2013Mar06   PE=18.28
6.9  on  2013Mar03   PE=18.06
6.2  on  2013Feb24   PE=17.56
6.1  on  2013Feb21   PE=17.67
6.2  on  2013Feb13   PE=17.78
5.3  on  2013Feb08   PE=17.59
6.5  on  2013Jan31   PE=17.24
6.4  on  2013Jan29   PE=17.42
7.4  on  2013Jan24   PE=17.29
6.2  on  2013Jan01   PE=16.28
6.5  on  2013Jan01   PE=15.96
6.4  on  2012Dec28   PE=15.75
6.6  on  2012Dec09   PE=15.80
6.5  on  2012Dec06   PE=15.72
7.0  on  2012Nov27   PE=15.58
7.2  on  2012Nov22   PE=15.79
7.3  on  2012Nov20   PE=15.53
6.9  on  2012Nov15   PE=15.20
6.8  on  2012Nov14   PE=15.12
6.9  on  2012Nov13   PE=15.37
8.3  on  2012Nov07   PE=16.58
9.0  on  2012Nov02   PE=16.51
8.9  on  2012Oct23   PE=17.15</t>
        </r>
      </text>
    </comment>
    <comment ref="L34" authorId="0">
      <text>
        <r>
          <rPr>
            <sz val="10"/>
            <rFont val="Arial"/>
            <family val="2"/>
          </rPr>
          <t xml:space="preserve">Pay date = Dec28 </t>
        </r>
      </text>
    </comment>
    <comment ref="M34" authorId="0">
      <text>
        <r>
          <rPr>
            <sz val="10"/>
            <rFont val="Arial"/>
            <family val="2"/>
          </rPr>
          <t>After Market Close</t>
        </r>
      </text>
    </comment>
    <comment ref="N34" authorId="0">
      <text>
        <r>
          <rPr>
            <sz val="10"/>
            <rFont val="Arial"/>
            <family val="2"/>
          </rPr>
          <t>EPS Q+1= 0.76,  Q-1= 0.79,  Q-2= 0.68,  Q-3= 1.01,  Q-4= 0.58</t>
        </r>
      </text>
    </comment>
    <comment ref="H35" authorId="0">
      <text>
        <r>
          <rPr>
            <sz val="10"/>
            <rFont val="Arial"/>
            <family val="2"/>
          </rPr>
          <t>9.1  on  2013Apr25   PE=10.77
9.2  on  2013Apr09   PE=10.85
9.1  on  2013Mar31   PE=10.65
9.2  on  2013Mar26   PE=10.92
7.9  on  2013Mar03   PE=19.81
8.2  on  2013Feb21   PE=19.25
8.7  on  2013Feb13   PE=19.16
8.8  on  2013Feb08   PE=20.37
8.9  on  2013Jan29   PE=19.38
9.0  on  2013Jan24   PE=19.44
8.7  on  2013Jan01   PE=19.35
9.0  on  2012Dec06   PE=19.57
9.2  on  2012Nov30   PE=19.85
9.1  on  2012Nov27   PE=19.59
9.2  on  2012Nov20   PE=19.50
9.1  on  2012Nov07   PE=19.23
9.0  on  2012Oct26   PE=19.42
9.1  on  2012Oct25   PE=19.31
9.0  on  2012Oct24   PE=19.17
9.1  on  2012Oct23   PE=19.49
9.0  on  2012Oct17   PE=19.84
9.1  on  2012Oct12   PE=20.22
9.0  on  2012Oct10   PE=20.46
8.5  on  2012Oct02   PE=20.36
8.4  on  2012Sep30   PE=20.12
8.5  on  2012Sep27   PE=20.03
8.4  on  2012Sep26   PE=19.99
8.5  on  2012Sep20   PE=20.44
8.4  on  2012Sep19   PE=20.49
8.7  on  2012Sep11   PE=19.98
8.8  on  2012Sep07   PE=20.11
8.5  on  2012Aug24   PE=20.22</t>
        </r>
      </text>
    </comment>
    <comment ref="L35" authorId="0">
      <text>
        <r>
          <rPr>
            <sz val="10"/>
            <rFont val="Arial"/>
            <family val="2"/>
          </rPr>
          <t xml:space="preserve">Pay date = Apr01 </t>
        </r>
      </text>
    </comment>
    <comment ref="N35" authorId="0">
      <text>
        <r>
          <rPr>
            <sz val="10"/>
            <rFont val="Arial"/>
            <family val="2"/>
          </rPr>
          <t>EPS Q+1= 2.72,  Q-1= 1.65,  Q-2= 1.75,  Q-3= 1.98,  Q-4= 2.61</t>
        </r>
      </text>
    </comment>
    <comment ref="H36" authorId="0">
      <text>
        <r>
          <rPr>
            <sz val="10"/>
            <rFont val="Arial"/>
            <family val="2"/>
          </rPr>
          <t>9.4  on  2013May02 
9.2  on  2013Apr28   PE=17.31
9.1  on  2013Apr25   PE=17.54
9.2  on  2013Apr18   PE=19.05
9.4  on  2013Apr09   PE=19.75
9.3  on  2013Apr02   PE=19.84
8.7  on  2013Mar06   PE=19.96
9.1  on  2013Mar03   PE=19.95
9.0  on  2013Feb21   PE=19.54
9.2  on  2013Feb13   PE=19.73
9.1  on  2013Feb08   PE=19.92
8.6  on  2013Jan31   PE=19.02
8.7  on  2013Jan24   PE=21.21
9.0  on  2013Jan01   PE=20.22
8.0  on  2012Dec12   PE=20.75
8.1  on  2012Dec06   PE=20.98
8.3  on  2012Nov27   PE=20.35
6.9  on  2012Nov22   PE=20.63
7.0  on  2012Nov20   PE=20.31
6.9  on  2012Nov13   PE=20.30
6.1  on  2012Nov09   PE=20.14
6.0  on  2012Nov07   PE=19.64
8.0  on  2012Nov05   PE=20.42
8.1  on  2012Nov02   PE=20.03
8.4  on  2012Oct31   PE=19.80
8.5  on  2012Oct30   PE=19.95
6.7  on  2012Oct23   PE=19.82
7.0  on  2012Oct21   PE=19.85
7.1  on  2012Oct17   PE=20.39
7.0  on  2012Oct16   PE=20.03
7.1  on  2012Oct12   PE=20.00
7.2  on  2012Oct09   PE=20.74</t>
        </r>
      </text>
    </comment>
    <comment ref="L36" authorId="0">
      <text>
        <r>
          <rPr>
            <sz val="10"/>
            <rFont val="Arial"/>
            <family val="2"/>
          </rPr>
          <t xml:space="preserve">Pay date = Jun26 </t>
        </r>
      </text>
    </comment>
    <comment ref="N36" authorId="0">
      <text>
        <r>
          <rPr>
            <sz val="10"/>
            <rFont val="Arial"/>
            <family val="2"/>
          </rPr>
          <t>EPS Q+1= 1.03,  Q-1= 1.17,  Q-2= 1.26,  Q-3= 0.89,  Q-4= 0.85</t>
        </r>
      </text>
    </comment>
    <comment ref="H37" authorId="0">
      <text>
        <r>
          <rPr>
            <sz val="10"/>
            <rFont val="Arial"/>
            <family val="2"/>
          </rPr>
          <t>5.3  on  2013May02 
5.4  on  2013Apr25   PE=24.01
5.3  on  2013Apr09   PE=23.64
8.0  on  2013Apr04   PE=23.08
7.9  on  2013Apr02   PE=23.62
7.8  on  2013Mar06   PE=22.89
7.7  on  2013Mar03   PE=22.79
6.0  on  2013Feb21   PE=22.42
6.1  on  2013Feb13   PE=22.58
5.1  on  2013Feb08   PE=21.81
8.0  on  2013Jan29   PE=21.97
6.9  on  2013Jan24   PE=21.34
7.3  on  2012Dec28   PE=18.63
7.5  on  2012Dec27   PE=18.63
7.6  on  2012Dec12   PE=18.90
7.5  on  2012Dec09   PE=19.11
7.6  on  2012Dec06   PE=18.82
8.3  on  2012Dec02   PE=19.42
7.8  on  2012Nov20   PE=19.39
7.7  on  2012Nov13   PE=18.40
3.7  on  2012Nov07   PE=19.54
6.5  on  2012Nov05   PE=19.01
6.4  on  2012Nov02   PE=15.93
7.1  on  2012Oct30   PE=15.84
5.5  on  2012Oct23   PE=15.88
5.6  on  2012Oct09   PE=16.14
3.9  on  2012Oct02   PE=7.86
3.8  on  2012Sep30   PE=15.45
3.9  on  2012Sep25   PE=15.83
5.0  on  2012Sep21   PE=15.91
4.8  on  2012Sep19   PE=15.86
7.5  on  2012Sep07   PE=15.21</t>
        </r>
      </text>
    </comment>
    <comment ref="L37" authorId="0">
      <text>
        <r>
          <rPr>
            <sz val="10"/>
            <rFont val="Arial"/>
            <family val="2"/>
          </rPr>
          <t xml:space="preserve">Pay date = May15 </t>
        </r>
      </text>
    </comment>
    <comment ref="N37" authorId="0">
      <text>
        <r>
          <rPr>
            <sz val="10"/>
            <rFont val="Arial"/>
            <family val="2"/>
          </rPr>
          <t>EPS Q+1= 0.98,  Q-1= 1.01,  Q-2= 0.73,  Q-3= 0.82,  Q-4= 0.79</t>
        </r>
      </text>
    </comment>
    <comment ref="H38" authorId="0">
      <text>
        <r>
          <rPr>
            <sz val="10"/>
            <rFont val="Arial"/>
            <family val="2"/>
          </rPr>
          <t>6.8  on  2013Apr25   PE=14.09
6.7  on  2013Apr18   PE=15.33
6.0  on  2013Apr09   PE=15.61
5.9  on  2013Apr02   PE=15.53
5.8  on  2013Mar19   PE=15.05
5.7  on  2013Mar06   PE=15.08
7.7  on  2013Mar03   PE=15.03
7.8  on  2013Feb21   PE=14.69
6.1  on  2013Feb13   PE=14.74
6.3  on  2013Feb08   PE=14.70
6.7  on  2013Jan29   PE=11.68
6.8  on  2013Jan24   PE=11.67
7.0  on  2013Jan01   PE=10.93
7.1  on  2012Dec28   PE=10.80
7.4  on  2012Dec06   PE=11.24
8.0  on  2012Nov28   PE=11.11
7.9  on  2012Nov27   PE=11.07
6.8  on  2012Nov20   PE=11.13
9.7  on  2012Nov13   PE=10.82
9.4  on  2012Nov07   PE=10.82
8.4  on  2012Nov02   PE=10.81
8.2  on  2012Nov01   PE=11.01
8.1  on  2012Oct30   PE=11.31
7.9  on  2012Oct23   PE=13.55
7.8  on  2012Oct21   PE=13.50
8.6  on  2012Sep11   PE=12.56
8.7  on  2012Sep07   PE=12.59
8.5  on  2012Aug24   PE=12.29
7.3  on  2012Jul26   PE=11.72
7.2  on  2012Jul25   PE=11.69
7.3  on  2012Jul20   PE=12.16
7.2  on  2012Jul17   PE=12.07</t>
        </r>
      </text>
    </comment>
    <comment ref="L38" authorId="0">
      <text>
        <r>
          <rPr>
            <sz val="10"/>
            <rFont val="Arial"/>
            <family val="2"/>
          </rPr>
          <t xml:space="preserve">Pay date = Apr02 </t>
        </r>
      </text>
    </comment>
    <comment ref="N38" authorId="0">
      <text>
        <r>
          <rPr>
            <sz val="10"/>
            <rFont val="Arial"/>
            <family val="2"/>
          </rPr>
          <t>EPS Q+1= 1.63,  Q-1= 2.14,  Q-2= 0.16,  Q-3= 1.98,  Q-4= 1.37</t>
        </r>
      </text>
    </comment>
    <comment ref="H39" authorId="0">
      <text>
        <r>
          <rPr>
            <sz val="10"/>
            <rFont val="Arial"/>
            <family val="2"/>
          </rPr>
          <t>9.9  on  2013May02 
9.3  on  2013Apr28   PE=5.97
9.2  on  2013Apr25   PE=6.04
9.5  on  2013Apr18   PE=5.77
9.9  on  2013Apr02   PE=5.87
5.8  on  2013Mar19   PE=15.05
5.7  on  2013Mar06   PE=15.08
7.7  on  2013Mar03   PE=15.03
7.8  on  2013Feb21   PE=14.69
6.1  on  2013Feb13   PE=14.74
6.3  on  2013Feb08   PE=14.70
6.7  on  2013Jan29   PE=11.68
6.8  on  2013Jan24   PE=11.67
7.0  on  2013Jan01   PE=10.93
7.1  on  2012Dec28   PE=10.80
7.4  on  2012Dec06   PE=11.24
8.0  on  2012Nov28   PE=11.11
7.9  on  2012Nov27   PE=11.07
6.8  on  2012Nov20   PE=11.13
9.7  on  2012Nov13   PE=10.82
9.4  on  2012Nov07   PE=10.82
8.4  on  2012Nov02   PE=10.81
8.2  on  2012Nov01   PE=11.01
8.1  on  2012Oct30   PE=11.31
7.9  on  2012Oct23   PE=13.55
7.8  on  2012Oct21   PE=13.50
8.6  on  2012Sep11   PE=12.56
8.7  on  2012Sep07   PE=12.59
8.5  on  2012Aug24   PE=12.29
7.3  on  2012Jul26   PE=11.72
7.2  on  2012Jul25   PE=11.69
7.3  on  2012Jul20   PE=12.16</t>
        </r>
      </text>
    </comment>
    <comment ref="N39" authorId="0">
      <text>
        <r>
          <rPr>
            <sz val="10"/>
            <rFont val="Arial"/>
            <family val="2"/>
          </rPr>
          <t>EPS Q+1= 1.73,  Q-1= 2.03,  Q-2= 2.94,  Q-3= 2.39,  Q-4= 1.16</t>
        </r>
      </text>
    </comment>
    <comment ref="H40" authorId="0">
      <text>
        <r>
          <rPr>
            <sz val="10"/>
            <rFont val="Arial"/>
            <family val="2"/>
          </rPr>
          <t>6.3  on  2013May02 
6.5  on  2013Apr25   PE=10.66
5.6  on  2013Apr09   PE=11.15
5.4  on  2013Apr02   PE=10.98
5.1  on  2013Mar28   PE=11.01
5.1  on  1899Dec30  PE=11.01</t>
        </r>
      </text>
    </comment>
    <comment ref="L40" authorId="0">
      <text>
        <r>
          <rPr>
            <sz val="10"/>
            <rFont val="Arial"/>
            <family val="2"/>
          </rPr>
          <t xml:space="preserve">Pay date = Jun01 </t>
        </r>
      </text>
    </comment>
    <comment ref="N40" authorId="0">
      <text>
        <r>
          <rPr>
            <sz val="10"/>
            <rFont val="Arial"/>
            <family val="2"/>
          </rPr>
          <t>EPS Q+1= 0.92,  Q-1= 0.92,  Q-2= 0.92,  Q-3= 0.88,  Q-4= 0.82</t>
        </r>
      </text>
    </comment>
    <comment ref="H41" authorId="0">
      <text>
        <r>
          <rPr>
            <sz val="10"/>
            <rFont val="Arial"/>
            <family val="2"/>
          </rPr>
          <t>7.0  on  2013May02   PE=9.82
6.9  on  2013Apr09   PE=9.99
6.7  on  2013Apr02   PE=9.96
6.6  on  2013Mar31   PE=10.03
7.3  on  2013Mar25  PE=10.03</t>
        </r>
      </text>
    </comment>
    <comment ref="L41" authorId="0">
      <text>
        <r>
          <rPr>
            <sz val="10"/>
            <rFont val="Arial"/>
            <family val="2"/>
          </rPr>
          <t xml:space="preserve">Pay date = Jun03 </t>
        </r>
      </text>
    </comment>
    <comment ref="N41" authorId="0">
      <text>
        <r>
          <rPr>
            <sz val="10"/>
            <rFont val="Arial"/>
            <family val="2"/>
          </rPr>
          <t>EPS Q+1= 0.54,  Q-1= 0.53,  Q-2= 0.61,  Q-3= 0.54,  Q-4= 0.64</t>
        </r>
      </text>
    </comment>
    <comment ref="L45" authorId="0">
      <text>
        <r>
          <rPr>
            <sz val="10"/>
            <rFont val="Arial"/>
            <family val="2"/>
          </rPr>
          <t>The aScore will be reduced by this amount of each allocation units you own.</t>
        </r>
      </text>
    </comment>
  </commentList>
</comments>
</file>

<file path=xl/sharedStrings.xml><?xml version="1.0" encoding="utf-8"?>
<sst xmlns="http://schemas.openxmlformats.org/spreadsheetml/2006/main" count="830" uniqueCount="606">
  <si>
    <t>Portfolio Example</t>
  </si>
  <si>
    <t>Money Wheel:</t>
  </si>
  <si>
    <t>Portfolio sample from the eBook by Michel Turcotte</t>
  </si>
  <si>
    <t>Last update:</t>
  </si>
  <si>
    <t>2013 Jun 21</t>
  </si>
  <si>
    <t>Disclaimer:  The allocation of this sample is for illustration only; it does not constitute a recommendation</t>
  </si>
  <si>
    <t>Symbol</t>
  </si>
  <si>
    <t>Quantity</t>
  </si>
  <si>
    <t>Value</t>
  </si>
  <si>
    <t>%Alloc</t>
  </si>
  <si>
    <t>Price</t>
  </si>
  <si>
    <t>Live PE+1</t>
  </si>
  <si>
    <t>P/E Ratio</t>
  </si>
  <si>
    <t>Scores</t>
  </si>
  <si>
    <t>aScore</t>
  </si>
  <si>
    <t>Score Date</t>
  </si>
  <si>
    <t>Dividend</t>
  </si>
  <si>
    <t>Ex Div Date</t>
  </si>
  <si>
    <t>Earnings</t>
  </si>
  <si>
    <t>EPS+1</t>
  </si>
  <si>
    <t>52 Weeks</t>
  </si>
  <si>
    <t>AAPL</t>
  </si>
  <si>
    <t>INTC</t>
  </si>
  <si>
    <t>IBM</t>
  </si>
  <si>
    <t>McD</t>
  </si>
  <si>
    <t>GLD</t>
  </si>
  <si>
    <t>SCCO</t>
  </si>
  <si>
    <t>DHR</t>
  </si>
  <si>
    <t>JPM</t>
  </si>
  <si>
    <t>AGNC</t>
  </si>
  <si>
    <t>PSX</t>
  </si>
  <si>
    <t>INT</t>
  </si>
  <si>
    <t>CVX</t>
  </si>
  <si>
    <t>COP</t>
  </si>
  <si>
    <t>DFS</t>
  </si>
  <si>
    <t>KS</t>
  </si>
  <si>
    <t>BOND</t>
  </si>
  <si>
    <t>GE</t>
  </si>
  <si>
    <t>HMA</t>
  </si>
  <si>
    <t>CAT</t>
  </si>
  <si>
    <t>GIS</t>
  </si>
  <si>
    <t>FDO</t>
  </si>
  <si>
    <t>FL</t>
  </si>
  <si>
    <t>UNH</t>
  </si>
  <si>
    <t>SI</t>
  </si>
  <si>
    <t>DIS</t>
  </si>
  <si>
    <t>DE</t>
  </si>
  <si>
    <t>QCOM</t>
  </si>
  <si>
    <t>PAA</t>
  </si>
  <si>
    <t>CB</t>
  </si>
  <si>
    <t>HFC</t>
  </si>
  <si>
    <t>WFC</t>
  </si>
  <si>
    <t>JBL</t>
  </si>
  <si>
    <t>Other1</t>
  </si>
  <si>
    <t>Earnings red if before:</t>
  </si>
  <si>
    <t>Other2</t>
  </si>
  <si>
    <t>Earnings red if after:</t>
  </si>
  <si>
    <t>Cash</t>
  </si>
  <si>
    <t>TOTAL=</t>
  </si>
  <si>
    <t>Allocation Unit:</t>
  </si>
  <si>
    <t>aScore Factor:</t>
  </si>
  <si>
    <t>Account Name (ex: IRA#1) =&gt;</t>
  </si>
  <si>
    <t>Fee:</t>
  </si>
  <si>
    <t>Created</t>
  </si>
  <si>
    <t>Stock</t>
  </si>
  <si>
    <t>Bought</t>
  </si>
  <si>
    <t>Purchase$</t>
  </si>
  <si>
    <t>Cost</t>
  </si>
  <si>
    <t>ROI</t>
  </si>
  <si>
    <t>ROI%</t>
  </si>
  <si>
    <t>#days</t>
  </si>
  <si>
    <t>ROI/y</t>
  </si>
  <si>
    <t>Today</t>
  </si>
  <si>
    <t>TOTAL =</t>
  </si>
  <si>
    <t>Money Wheel sample from the eBook by Michel Turcotte</t>
  </si>
  <si>
    <t>Last updated:</t>
  </si>
  <si>
    <t>2013 May 02</t>
  </si>
  <si>
    <t>Cells in purple must be filled up by the user</t>
  </si>
  <si>
    <t>Money Wheel</t>
  </si>
  <si>
    <t>Portfolio vs Market Highs  =  Money Wheel</t>
  </si>
  <si>
    <t>High DOW:</t>
  </si>
  <si>
    <t>Cash Target High:</t>
  </si>
  <si>
    <t>Seasonal Adjusted Target:</t>
  </si>
  <si>
    <t>Current DOW:</t>
  </si>
  <si>
    <t>Low DOW</t>
  </si>
  <si>
    <t>Target Low:</t>
  </si>
  <si>
    <t>Portfolio:</t>
  </si>
  <si>
    <t>Invested:</t>
  </si>
  <si>
    <t>Current Cash:</t>
  </si>
  <si>
    <t>DOW % max:</t>
  </si>
  <si>
    <t>Cash Target %:</t>
  </si>
  <si>
    <t>Cash Target $:</t>
  </si>
  <si>
    <t>Exceed Cash Target:</t>
  </si>
  <si>
    <t>Below Cash Target:</t>
  </si>
  <si>
    <t>Season Allocation sample from the eBook by Michel Turcotte</t>
  </si>
  <si>
    <t>Portfolio vs Season  ~  Money Wheel</t>
  </si>
  <si>
    <t>(inspired by Sell in May and Go Away)</t>
  </si>
  <si>
    <t>Min:</t>
  </si>
  <si>
    <t>Max:</t>
  </si>
  <si>
    <t>Today:</t>
  </si>
  <si>
    <t>Day Trading</t>
  </si>
  <si>
    <t>Trading</t>
  </si>
  <si>
    <t>This is an example of imported file from fidelity.com exporting a watch list as a CSV file.</t>
  </si>
  <si>
    <t>It is used as an example in the eBook from Michel Turcotte</t>
  </si>
  <si>
    <t>Fidelity Investments - Watch List MT Watching</t>
  </si>
  <si>
    <t>Quote data as of 06/21/2013 6:59 PM ET.</t>
  </si>
  <si>
    <t>Watch Closely</t>
  </si>
  <si>
    <t>Name</t>
  </si>
  <si>
    <t>Note</t>
  </si>
  <si>
    <t>Last Trade</t>
  </si>
  <si>
    <t>Tick</t>
  </si>
  <si>
    <t>Change Since Close</t>
  </si>
  <si>
    <t>Change Since Close (%)</t>
  </si>
  <si>
    <t>Day High</t>
  </si>
  <si>
    <t>Day Low</t>
  </si>
  <si>
    <t>Volume</t>
  </si>
  <si>
    <t>52Wk High</t>
  </si>
  <si>
    <t>52Wk Low</t>
  </si>
  <si>
    <t>Date &amp; Time</t>
  </si>
  <si>
    <t>false</t>
  </si>
  <si>
    <t>JABIL CIRCUIT INC</t>
  </si>
  <si>
    <t>$20.23</t>
  </si>
  <si>
    <t>up</t>
  </si>
  <si>
    <t>+$0.11</t>
  </si>
  <si>
    <t>+0.55%</t>
  </si>
  <si>
    <t>$20.61</t>
  </si>
  <si>
    <t>$20.07</t>
  </si>
  <si>
    <t>3,116,663</t>
  </si>
  <si>
    <t>$23.95</t>
  </si>
  <si>
    <t>$16.39</t>
  </si>
  <si>
    <t>06/21/2013 04:03PM</t>
  </si>
  <si>
    <t>DEERE AND CO</t>
  </si>
  <si>
    <t>$82.47</t>
  </si>
  <si>
    <t>down</t>
  </si>
  <si>
    <t>-$0.42</t>
  </si>
  <si>
    <t>-0.51%</t>
  </si>
  <si>
    <t>$83.70</t>
  </si>
  <si>
    <t>$81.73</t>
  </si>
  <si>
    <t>4,799,217</t>
  </si>
  <si>
    <t>$95.601</t>
  </si>
  <si>
    <t>$72.85</t>
  </si>
  <si>
    <t>06/21/2013 04:02PM</t>
  </si>
  <si>
    <t>HOLLYFRONTIER CORPORATION</t>
  </si>
  <si>
    <t>$41.53</t>
  </si>
  <si>
    <t>-$1.31</t>
  </si>
  <si>
    <t>-3.06%</t>
  </si>
  <si>
    <t>$43.1685</t>
  </si>
  <si>
    <t>$41.00</t>
  </si>
  <si>
    <t>5,372,012</t>
  </si>
  <si>
    <t>$59.20</t>
  </si>
  <si>
    <t>$31.814</t>
  </si>
  <si>
    <t>CSRIX</t>
  </si>
  <si>
    <t>COHEN &amp;amp; STEERS INSTITUTIONAL REALTY SHS INC</t>
  </si>
  <si>
    <t>$42.66</t>
  </si>
  <si>
    <t>+$0.52</t>
  </si>
  <si>
    <t>+1.23%</t>
  </si>
  <si>
    <t>n/a</t>
  </si>
  <si>
    <t>$49.84</t>
  </si>
  <si>
    <t>$40.85</t>
  </si>
  <si>
    <t>06/21/2013</t>
  </si>
  <si>
    <t>GENERAL MILLS INC</t>
  </si>
  <si>
    <t>$48.64</t>
  </si>
  <si>
    <t>+$0.43</t>
  </si>
  <si>
    <t>+0.89%</t>
  </si>
  <si>
    <t>$48.84</t>
  </si>
  <si>
    <t>$48.345</t>
  </si>
  <si>
    <t>4,961,489</t>
  </si>
  <si>
    <t>$50.97</t>
  </si>
  <si>
    <t>$36.75</t>
  </si>
  <si>
    <t>06/21/2013 04:01PM</t>
  </si>
  <si>
    <t>true</t>
  </si>
  <si>
    <t>CATERPILLAR INC</t>
  </si>
  <si>
    <t>$83.12</t>
  </si>
  <si>
    <t>-$0.08</t>
  </si>
  <si>
    <t>-0.10%</t>
  </si>
  <si>
    <t>$84.02</t>
  </si>
  <si>
    <t>$81.93</t>
  </si>
  <si>
    <t>9,736,764</t>
  </si>
  <si>
    <t>$99.70</t>
  </si>
  <si>
    <t>$78.25</t>
  </si>
  <si>
    <t>06/21/2013 04:00PM</t>
  </si>
  <si>
    <t>INTERNATIONAL BUSINESS MACHINES CORP</t>
  </si>
  <si>
    <t>$195.46</t>
  </si>
  <si>
    <t>-$1.89</t>
  </si>
  <si>
    <t>-0.96%</t>
  </si>
  <si>
    <t>$198.52</t>
  </si>
  <si>
    <t>$193.5401</t>
  </si>
  <si>
    <t>8,918,918</t>
  </si>
  <si>
    <t>$215.90</t>
  </si>
  <si>
    <t>$181.85</t>
  </si>
  <si>
    <t>INTEL CORPORATION</t>
  </si>
  <si>
    <t>$24.195</t>
  </si>
  <si>
    <t>+$0.01</t>
  </si>
  <si>
    <t>+0.04%</t>
  </si>
  <si>
    <t>$24.35</t>
  </si>
  <si>
    <t>$24.09</t>
  </si>
  <si>
    <t>67,752,951</t>
  </si>
  <si>
    <t>$26.96</t>
  </si>
  <si>
    <t>$19.23</t>
  </si>
  <si>
    <t>.SPX</t>
  </si>
  <si>
    <t>S&amp;amp;P 500 INDEX</t>
  </si>
  <si>
    <t>1,592.43</t>
  </si>
  <si>
    <t>+4.24</t>
  </si>
  <si>
    <t>+0.27%</t>
  </si>
  <si>
    <t>1,599.19</t>
  </si>
  <si>
    <t>1,577.70</t>
  </si>
  <si>
    <t>1,687.18</t>
  </si>
  <si>
    <t>1,309.27</t>
  </si>
  <si>
    <t>06/21/2013 04:33PM</t>
  </si>
  <si>
    <t>FOOT LOCKER INC</t>
  </si>
  <si>
    <t>$34.98</t>
  </si>
  <si>
    <t>+$0.03</t>
  </si>
  <si>
    <t>+0.09%</t>
  </si>
  <si>
    <t>$35.26</t>
  </si>
  <si>
    <t>$34.705</t>
  </si>
  <si>
    <t>3,151,121</t>
  </si>
  <si>
    <t>$37.65</t>
  </si>
  <si>
    <t>$28.43</t>
  </si>
  <si>
    <t>SIEMENS AKTIENGESELLSCHAFT</t>
  </si>
  <si>
    <t>$101.96</t>
  </si>
  <si>
    <t>-$1.25</t>
  </si>
  <si>
    <t>-1.21%</t>
  </si>
  <si>
    <t>$102.96</t>
  </si>
  <si>
    <t>$101.058</t>
  </si>
  <si>
    <t>491,585</t>
  </si>
  <si>
    <t>$113.16</t>
  </si>
  <si>
    <t>$77.88</t>
  </si>
  <si>
    <t>WALT DISNEY CO</t>
  </si>
  <si>
    <t>$62.73</t>
  </si>
  <si>
    <t>+$0.75</t>
  </si>
  <si>
    <t>+1.21%</t>
  </si>
  <si>
    <t>$63.08</t>
  </si>
  <si>
    <t>$61.82</t>
  </si>
  <si>
    <t>11,892,666</t>
  </si>
  <si>
    <t>$67.89</t>
  </si>
  <si>
    <t>$46.53</t>
  </si>
  <si>
    <t>QUALCOMM INC</t>
  </si>
  <si>
    <t>$60.67</t>
  </si>
  <si>
    <t>-$0.25</t>
  </si>
  <si>
    <t>-0.41%</t>
  </si>
  <si>
    <t>$61.05</t>
  </si>
  <si>
    <t>$60.215</t>
  </si>
  <si>
    <t>25,052,714</t>
  </si>
  <si>
    <t>$68.50</t>
  </si>
  <si>
    <t>$53.09</t>
  </si>
  <si>
    <t>CHUBB CORP</t>
  </si>
  <si>
    <t>$83.15</t>
  </si>
  <si>
    <t>-$0.36</t>
  </si>
  <si>
    <t>-0.43%</t>
  </si>
  <si>
    <t>$83.98</t>
  </si>
  <si>
    <t>$82.68</t>
  </si>
  <si>
    <t>2,163,615</t>
  </si>
  <si>
    <t>$90.64</t>
  </si>
  <si>
    <t>$68.51</t>
  </si>
  <si>
    <t>06/21/2013 04:06PM</t>
  </si>
  <si>
    <t>DISCOVER FINANCIAL SERVICES</t>
  </si>
  <si>
    <t>$46.39</t>
  </si>
  <si>
    <t>-$0.37</t>
  </si>
  <si>
    <t>-0.79%</t>
  </si>
  <si>
    <t>$47.18</t>
  </si>
  <si>
    <t>$45.951</t>
  </si>
  <si>
    <t>5,142,756</t>
  </si>
  <si>
    <t>$49.71</t>
  </si>
  <si>
    <t>$32.74</t>
  </si>
  <si>
    <t>06/21/2013 04:08PM</t>
  </si>
  <si>
    <t>WELLS FARGO AND COMPANY</t>
  </si>
  <si>
    <t>$40.96</t>
  </si>
  <si>
    <t>+$0.87</t>
  </si>
  <si>
    <t>+2.17%</t>
  </si>
  <si>
    <t>$41.20</t>
  </si>
  <si>
    <t>$40.15</t>
  </si>
  <si>
    <t>38,851,181</t>
  </si>
  <si>
    <t>$41.69</t>
  </si>
  <si>
    <t>$31.25</t>
  </si>
  <si>
    <t>MITT</t>
  </si>
  <si>
    <t>AG MORTGAGE INVESTMENT TRUST INC</t>
  </si>
  <si>
    <t>$18.98</t>
  </si>
  <si>
    <t>-$0.17</t>
  </si>
  <si>
    <t>-0.89%</t>
  </si>
  <si>
    <t>$19.35</t>
  </si>
  <si>
    <t>$18.41</t>
  </si>
  <si>
    <t>726,067</t>
  </si>
  <si>
    <t>$26.94</t>
  </si>
  <si>
    <t>PHILLIPS 66</t>
  </si>
  <si>
    <t>$59.25</t>
  </si>
  <si>
    <t>-$1.14</t>
  </si>
  <si>
    <t>-1.89%</t>
  </si>
  <si>
    <t>$61.23</t>
  </si>
  <si>
    <t>$58.06</t>
  </si>
  <si>
    <t>6,357,406</t>
  </si>
  <si>
    <t>$70.52</t>
  </si>
  <si>
    <t>$31.29</t>
  </si>
  <si>
    <t>06/21/2013 04:04PM</t>
  </si>
  <si>
    <t>.DJI</t>
  </si>
  <si>
    <t>DJ INDUSTRIAL AVERAGE</t>
  </si>
  <si>
    <t>14,799.40</t>
  </si>
  <si>
    <t>+41.08</t>
  </si>
  <si>
    <t>+0.28%</t>
  </si>
  <si>
    <t>14,858.56</t>
  </si>
  <si>
    <t>14,688.43</t>
  </si>
  <si>
    <t>15,542.40</t>
  </si>
  <si>
    <t>12,450.17</t>
  </si>
  <si>
    <t>06/21/2013 04:20PM</t>
  </si>
  <si>
    <t>JP MORGAN CHASE AND COMPANY</t>
  </si>
  <si>
    <t>$51.96</t>
  </si>
  <si>
    <t>-$0.52</t>
  </si>
  <si>
    <t>-0.99%</t>
  </si>
  <si>
    <t>$52.98</t>
  </si>
  <si>
    <t>$51.69</t>
  </si>
  <si>
    <t>44,415,245</t>
  </si>
  <si>
    <t>$55.90</t>
  </si>
  <si>
    <t>$33.10</t>
  </si>
  <si>
    <t>.IXIC</t>
  </si>
  <si>
    <t>NASDAQ COMPOSITE INDEX COMP</t>
  </si>
  <si>
    <t>3,357.25</t>
  </si>
  <si>
    <t>-7.39</t>
  </si>
  <si>
    <t>-0.22%</t>
  </si>
  <si>
    <t>3,377.30</t>
  </si>
  <si>
    <t>3,326.86</t>
  </si>
  <si>
    <t>3,532.04</t>
  </si>
  <si>
    <t>2,810.80</t>
  </si>
  <si>
    <t>06/21/2013 05:16PM</t>
  </si>
  <si>
    <t>APPLE INC</t>
  </si>
  <si>
    <t>$413.50</t>
  </si>
  <si>
    <t>-$3.338</t>
  </si>
  <si>
    <t>-0.80%</t>
  </si>
  <si>
    <t>$420.00</t>
  </si>
  <si>
    <t>$408.1001</t>
  </si>
  <si>
    <t>17,184,584</t>
  </si>
  <si>
    <t>$705.07</t>
  </si>
  <si>
    <t>$385.10</t>
  </si>
  <si>
    <t>FAMILY DOLLAR STORES INC</t>
  </si>
  <si>
    <t>$62.08</t>
  </si>
  <si>
    <t>+$0.44</t>
  </si>
  <si>
    <t>+0.71%</t>
  </si>
  <si>
    <t>$62.32</t>
  </si>
  <si>
    <t>$61.35</t>
  </si>
  <si>
    <t>1,648,113</t>
  </si>
  <si>
    <t>$72.54</t>
  </si>
  <si>
    <t>$54.06</t>
  </si>
  <si>
    <t>06/21/2013 04:09PM</t>
  </si>
  <si>
    <t>KAPSTONE PAPER AND PACKAGING CORPORATION</t>
  </si>
  <si>
    <t>$39.29</t>
  </si>
  <si>
    <t>+$0.27</t>
  </si>
  <si>
    <t>+0.69%</t>
  </si>
  <si>
    <t>$39.40</t>
  </si>
  <si>
    <t>$38.08</t>
  </si>
  <si>
    <t>660,968</t>
  </si>
  <si>
    <t>$40.76</t>
  </si>
  <si>
    <t>$14.82</t>
  </si>
  <si>
    <t>06/21/2013 04:05PM</t>
  </si>
  <si>
    <t>MCD</t>
  </si>
  <si>
    <t>MCDONALDS CORP</t>
  </si>
  <si>
    <t>$97.23</t>
  </si>
  <si>
    <t>+0.45%</t>
  </si>
  <si>
    <t>$97.75</t>
  </si>
  <si>
    <t>$96.889</t>
  </si>
  <si>
    <t>7,228,054</t>
  </si>
  <si>
    <t>$103.70</t>
  </si>
  <si>
    <t>$83.31</t>
  </si>
  <si>
    <t>BAC</t>
  </si>
  <si>
    <t>BANK OF AMERICA CORPORATION</t>
  </si>
  <si>
    <t>$12.69</t>
  </si>
  <si>
    <t>-$0.20</t>
  </si>
  <si>
    <t>-1.55%</t>
  </si>
  <si>
    <t>$13.00</t>
  </si>
  <si>
    <t>$12.39</t>
  </si>
  <si>
    <t>195,956,414</t>
  </si>
  <si>
    <t>$13.99</t>
  </si>
  <si>
    <t>$6.90</t>
  </si>
  <si>
    <t>BRY</t>
  </si>
  <si>
    <t>BERRY PETROLEUM COMPANY</t>
  </si>
  <si>
    <t>$42.94</t>
  </si>
  <si>
    <t>+0.07%</t>
  </si>
  <si>
    <t>$43.29</t>
  </si>
  <si>
    <t>$42.28</t>
  </si>
  <si>
    <t>651,083</t>
  </si>
  <si>
    <t>$48.99</t>
  </si>
  <si>
    <t>$30.21</t>
  </si>
  <si>
    <t>CHEVRON CORPORATION</t>
  </si>
  <si>
    <t>$118.93</t>
  </si>
  <si>
    <t>+$0.98</t>
  </si>
  <si>
    <t>+0.83%</t>
  </si>
  <si>
    <t>$119.54</t>
  </si>
  <si>
    <t>$117.26</t>
  </si>
  <si>
    <t>10,692,108</t>
  </si>
  <si>
    <t>$127.40</t>
  </si>
  <si>
    <t>$98.17</t>
  </si>
  <si>
    <t>AMERICAN CAPITAL AGENCY CORPORATION</t>
  </si>
  <si>
    <t>$23.45</t>
  </si>
  <si>
    <t>+$0.051</t>
  </si>
  <si>
    <t>+0.22%</t>
  </si>
  <si>
    <t>$23.9414</t>
  </si>
  <si>
    <t>$22.80</t>
  </si>
  <si>
    <t>17,055,035</t>
  </si>
  <si>
    <t>$36.77</t>
  </si>
  <si>
    <t>SPDR GOLD TRUST</t>
  </si>
  <si>
    <t>$125.05</t>
  </si>
  <si>
    <t>+$1.45</t>
  </si>
  <si>
    <t>+1.17%</t>
  </si>
  <si>
    <t>$125.57</t>
  </si>
  <si>
    <t>$124.46</t>
  </si>
  <si>
    <t>16,599,984</t>
  </si>
  <si>
    <t>$174.07</t>
  </si>
  <si>
    <t>$123.33</t>
  </si>
  <si>
    <t>OIL</t>
  </si>
  <si>
    <t>IPATH S&amp;amp;P GSCI CRUDE OIL TOTAL RETURN</t>
  </si>
  <si>
    <t>$21.74</t>
  </si>
  <si>
    <t>-$0.26</t>
  </si>
  <si>
    <t>-1.18%</t>
  </si>
  <si>
    <t>$22.03</t>
  </si>
  <si>
    <t>$21.54</t>
  </si>
  <si>
    <t>580,770</t>
  </si>
  <si>
    <t>$24.44</t>
  </si>
  <si>
    <t>$18.82</t>
  </si>
  <si>
    <t>WORLD FUEL SERVICES CORPORATION</t>
  </si>
  <si>
    <t>$39.31</t>
  </si>
  <si>
    <t>+$0.72</t>
  </si>
  <si>
    <t>+1.87%</t>
  </si>
  <si>
    <t>$39.33</t>
  </si>
  <si>
    <t>$38.04</t>
  </si>
  <si>
    <t>577,437</t>
  </si>
  <si>
    <t>$45.20</t>
  </si>
  <si>
    <t>$33.65</t>
  </si>
  <si>
    <t>SOUTHERN COPPER CORP</t>
  </si>
  <si>
    <t>$28.12</t>
  </si>
  <si>
    <t>-$0.14</t>
  </si>
  <si>
    <t>-0.50%</t>
  </si>
  <si>
    <t>$28.69</t>
  </si>
  <si>
    <t>$27.8401</t>
  </si>
  <si>
    <t>2,541,217</t>
  </si>
  <si>
    <t>$42.03</t>
  </si>
  <si>
    <t>MTGE</t>
  </si>
  <si>
    <t>AMERICAN CAPITAL MORTGAGE INVESTMENT CORPORATION</t>
  </si>
  <si>
    <t>$18.59</t>
  </si>
  <si>
    <t>-$0.391</t>
  </si>
  <si>
    <t>-2.06%</t>
  </si>
  <si>
    <t>$19.2485</t>
  </si>
  <si>
    <t>$18.25</t>
  </si>
  <si>
    <t>2,419,433</t>
  </si>
  <si>
    <t>$26.71</t>
  </si>
  <si>
    <t>CONOCOPHILLIPS</t>
  </si>
  <si>
    <t>$60.36</t>
  </si>
  <si>
    <t>+$0.08</t>
  </si>
  <si>
    <t>+0.13%</t>
  </si>
  <si>
    <t>$60.80</t>
  </si>
  <si>
    <t>$59.5514</t>
  </si>
  <si>
    <t>8,781,148</t>
  </si>
  <si>
    <t>$64.769</t>
  </si>
  <si>
    <t>$52.29</t>
  </si>
  <si>
    <t>HUM</t>
  </si>
  <si>
    <t>HUMANA INC</t>
  </si>
  <si>
    <t>$84.91</t>
  </si>
  <si>
    <t>+$1.28</t>
  </si>
  <si>
    <t>+1.53%</t>
  </si>
  <si>
    <t>$84.96</t>
  </si>
  <si>
    <t>2,001,833</t>
  </si>
  <si>
    <t>$85.36</t>
  </si>
  <si>
    <t>$59.92</t>
  </si>
  <si>
    <t>UNITEDHEALTH GROUP</t>
  </si>
  <si>
    <t>$63.90</t>
  </si>
  <si>
    <t>+$0.10</t>
  </si>
  <si>
    <t>+0.16%</t>
  </si>
  <si>
    <t>$64.83</t>
  </si>
  <si>
    <t>$63.43</t>
  </si>
  <si>
    <t>7,807,058</t>
  </si>
  <si>
    <t>$66.16</t>
  </si>
  <si>
    <t>$50.32</t>
  </si>
  <si>
    <t>PIMCO TOTAL RETURN EXCHANGE TRADED FUND</t>
  </si>
  <si>
    <t>$105.41</t>
  </si>
  <si>
    <t>+0.03%</t>
  </si>
  <si>
    <t>$105.99</t>
  </si>
  <si>
    <t>$105.21</t>
  </si>
  <si>
    <t>832,271</t>
  </si>
  <si>
    <t>$111.10</t>
  </si>
  <si>
    <t>WOBDX</t>
  </si>
  <si>
    <t>JPMORGAN CORE BOND FUND SELECT</t>
  </si>
  <si>
    <t>$11.68</t>
  </si>
  <si>
    <t>-$0.04</t>
  </si>
  <si>
    <t>-0.34%</t>
  </si>
  <si>
    <t>$12.16</t>
  </si>
  <si>
    <t>BA</t>
  </si>
  <si>
    <t>BOEING CO</t>
  </si>
  <si>
    <t>$99.98</t>
  </si>
  <si>
    <t>+$0.34</t>
  </si>
  <si>
    <t>+0.34%</t>
  </si>
  <si>
    <t>$100.14</t>
  </si>
  <si>
    <t>$97.42</t>
  </si>
  <si>
    <t>10,329,539</t>
  </si>
  <si>
    <t>$104.15</t>
  </si>
  <si>
    <t>$69.03</t>
  </si>
  <si>
    <t>AMAT</t>
  </si>
  <si>
    <t>APPLIED MATERIALS INC</t>
  </si>
  <si>
    <t>$15.075</t>
  </si>
  <si>
    <t>+$0.005</t>
  </si>
  <si>
    <t>$15.19</t>
  </si>
  <si>
    <t>$14.79</t>
  </si>
  <si>
    <t>22,346,552</t>
  </si>
  <si>
    <t>$16.09</t>
  </si>
  <si>
    <t>$9.95</t>
  </si>
  <si>
    <t>DANAHER CORP</t>
  </si>
  <si>
    <t>$62.11</t>
  </si>
  <si>
    <t>-$0.15</t>
  </si>
  <si>
    <t>-0.24%</t>
  </si>
  <si>
    <t>$62.88</t>
  </si>
  <si>
    <t>$61.67</t>
  </si>
  <si>
    <t>5,981,006</t>
  </si>
  <si>
    <t>$64.80</t>
  </si>
  <si>
    <t>$49.18</t>
  </si>
  <si>
    <t>HEALTH MANAGEMENT ASSOCIATES INC</t>
  </si>
  <si>
    <t>$15.46</t>
  </si>
  <si>
    <t>+$0.38</t>
  </si>
  <si>
    <t>+2.52%</t>
  </si>
  <si>
    <t>$15.67</t>
  </si>
  <si>
    <t>$15.09</t>
  </si>
  <si>
    <t>7,659,250</t>
  </si>
  <si>
    <t>$16.405</t>
  </si>
  <si>
    <t>$6.27</t>
  </si>
  <si>
    <t>POT</t>
  </si>
  <si>
    <t>POTASH CORP</t>
  </si>
  <si>
    <t>$39.20</t>
  </si>
  <si>
    <t>-$0.46</t>
  </si>
  <si>
    <t>-1.16%</t>
  </si>
  <si>
    <t>$39.65</t>
  </si>
  <si>
    <t>$38.77</t>
  </si>
  <si>
    <t>4,907,676</t>
  </si>
  <si>
    <t>$46.16</t>
  </si>
  <si>
    <t>$36.94</t>
  </si>
  <si>
    <t>KO</t>
  </si>
  <si>
    <t>COCA COLA COMPANY</t>
  </si>
  <si>
    <t>$39.76</t>
  </si>
  <si>
    <t>+$0.63</t>
  </si>
  <si>
    <t>+1.61%</t>
  </si>
  <si>
    <t>$39.97</t>
  </si>
  <si>
    <t>$39.30</t>
  </si>
  <si>
    <t>21,941,299</t>
  </si>
  <si>
    <t>$43.43</t>
  </si>
  <si>
    <t>$35.58</t>
  </si>
  <si>
    <t>PLAINS ALL AMERICAN PIPELINE</t>
  </si>
  <si>
    <t>$53.26</t>
  </si>
  <si>
    <t>-$1.40</t>
  </si>
  <si>
    <t>-2.56%</t>
  </si>
  <si>
    <t>$55.50</t>
  </si>
  <si>
    <t>$52.34</t>
  </si>
  <si>
    <t>3,543,729</t>
  </si>
  <si>
    <t>$59.52</t>
  </si>
  <si>
    <t>$38.64</t>
  </si>
  <si>
    <t>CE</t>
  </si>
  <si>
    <t>CELANESE CORP</t>
  </si>
  <si>
    <t>$46.10</t>
  </si>
  <si>
    <t>-0.90%</t>
  </si>
  <si>
    <t>$46.77</t>
  </si>
  <si>
    <t>$45.24</t>
  </si>
  <si>
    <t>1,246,631</t>
  </si>
  <si>
    <t>$51.58</t>
  </si>
  <si>
    <t>$32.77</t>
  </si>
  <si>
    <t>FSEMX</t>
  </si>
  <si>
    <t>SPARTAN EXTENDED MKTINDEX INVESTOR CL</t>
  </si>
  <si>
    <t>$44.98</t>
  </si>
  <si>
    <t>-$0.03</t>
  </si>
  <si>
    <t>-0.07%</t>
  </si>
  <si>
    <t>$47.33</t>
  </si>
  <si>
    <t>$36.56</t>
  </si>
  <si>
    <t>GENERAL ELECTRIC COMPANY</t>
  </si>
  <si>
    <t>$23.36</t>
  </si>
  <si>
    <t>+0.47%</t>
  </si>
  <si>
    <t>$23.64</t>
  </si>
  <si>
    <t>$23.205</t>
  </si>
  <si>
    <t>65,031,717</t>
  </si>
  <si>
    <t>$24.45</t>
  </si>
  <si>
    <t>$19.29</t>
  </si>
  <si>
    <t>Date/Time in Eastern time. Past performance is no guarantee of future results.</t>
  </si>
  <si>
    <t>Securities that you have chosen to watch closely are highlighted with a red flag on your watch list for simplified self-monitoring.</t>
  </si>
  <si>
    <t>Please note that the Watch Closely feature has been created solely for customers' personal use. Fidelity does not proactively</t>
  </si>
  <si>
    <t>monitor these securities any differently than other securities in your watch lists.</t>
  </si>
  <si>
    <t>This information is provided for information purposes only and should not be used or construed as an indicator of future</t>
  </si>
  <si>
    <t>performance, an offer to sell, a solicitation of an offer to buy, or a recommendation for any security.</t>
  </si>
  <si>
    <t>Fidelity cannot guarantee the suitability or potential value of any particular investment.</t>
  </si>
  <si>
    <t>504444.2.0</t>
  </si>
  <si>
    <t>5.4</t>
  </si>
  <si>
    <t>7.5</t>
  </si>
  <si>
    <t>8.3</t>
  </si>
  <si>
    <t>6.9</t>
  </si>
  <si>
    <t>0.7</t>
  </si>
  <si>
    <t>7.8</t>
  </si>
  <si>
    <t>8.9</t>
  </si>
  <si>
    <t>9.6</t>
  </si>
  <si>
    <t>8.6</t>
  </si>
  <si>
    <t>9.9</t>
  </si>
  <si>
    <t>9.0</t>
  </si>
  <si>
    <t>9.2</t>
  </si>
  <si>
    <t>6.4</t>
  </si>
  <si>
    <t>8.2</t>
  </si>
  <si>
    <t>7.6</t>
  </si>
  <si>
    <t>6.1</t>
  </si>
  <si>
    <t>2.2</t>
  </si>
  <si>
    <t>7.4</t>
  </si>
  <si>
    <t>8.8</t>
  </si>
  <si>
    <t>6.7</t>
  </si>
  <si>
    <t>5.9</t>
  </si>
  <si>
    <t>9.1</t>
  </si>
  <si>
    <t>9.4</t>
  </si>
  <si>
    <t>5.3</t>
  </si>
  <si>
    <t>6.8</t>
  </si>
  <si>
    <t>6.3</t>
  </si>
  <si>
    <t>7.0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</si>
</sst>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0"/>
    <numFmt numFmtId="165" formatCode="0.0%"/>
    <numFmt numFmtId="166" formatCode="mmm\ dd"/>
    <numFmt numFmtId="167" formatCode="[$$-409]#,##0.00;[Red]\-[$$-409]#,##0.00"/>
    <numFmt numFmtId="168" formatCode="[$$-409]#,##0;[Red]\-[$$-409]#,##0"/>
    <numFmt numFmtId="169" formatCode="\$0,\k"/>
    <numFmt numFmtId="170" formatCode="0.0"/>
    <numFmt numFmtId="171" formatCode="#&quot; before&quot;"/>
    <numFmt numFmtId="172" formatCode="#&quot; After&quot;"/>
    <numFmt numFmtId="173" formatCode="\$0\k"/>
    <numFmt numFmtId="174" formatCode="mmm\ d&quot;, &quot;yy"/>
    <numFmt numFmtId="175" formatCode="yymmmdd"/>
    <numFmt numFmtId="176" formatCode="\$#,##0.00"/>
    <numFmt numFmtId="177" formatCode="\$#,##0.00;&quot;$-&quot;#,##0.00"/>
    <numFmt numFmtId="178" formatCode="0%&quot; cash&quot;"/>
    <numFmt numFmtId="179" formatCode="0\k"/>
    <numFmt numFmtId="180" formatCode="mm/dd/yy"/>
  </numFmts>
  <fonts count="69">
    <font>
      <sz val="10"/>
      <name val="Arial"/>
      <family val="2"/>
    </font>
    <font>
      <sz val="10"/>
      <name val="Mangal"/>
      <family val="2"/>
    </font>
    <font>
      <b/>
      <u val="single"/>
      <sz val="18"/>
      <name val="Arial"/>
      <family val="2"/>
    </font>
    <font>
      <b/>
      <sz val="10"/>
      <name val="Arial"/>
      <family val="2"/>
    </font>
    <font>
      <sz val="10.5"/>
      <name val="Arial"/>
      <family val="2"/>
    </font>
    <font>
      <sz val="9"/>
      <name val="Arial"/>
      <family val="2"/>
    </font>
    <font>
      <u val="single"/>
      <sz val="10"/>
      <name val="Arial"/>
      <family val="2"/>
    </font>
    <font>
      <u val="single"/>
      <sz val="10"/>
      <color indexed="8"/>
      <name val="Arial"/>
      <family val="2"/>
    </font>
    <font>
      <u val="single"/>
      <sz val="9"/>
      <name val="Arial"/>
      <family val="2"/>
    </font>
    <font>
      <u val="single"/>
      <sz val="10"/>
      <color indexed="12"/>
      <name val="Arial"/>
      <family val="2"/>
    </font>
    <font>
      <b/>
      <sz val="10"/>
      <color indexed="8"/>
      <name val="Arial"/>
      <family val="2"/>
    </font>
    <font>
      <sz val="10"/>
      <color indexed="8"/>
      <name val="Arial"/>
      <family val="2"/>
    </font>
    <font>
      <b/>
      <sz val="11"/>
      <color indexed="8"/>
      <name val="Arial"/>
      <family val="2"/>
    </font>
    <font>
      <b/>
      <sz val="9"/>
      <color indexed="8"/>
      <name val="Arial"/>
      <family val="2"/>
    </font>
    <font>
      <sz val="9"/>
      <color indexed="8"/>
      <name val="Arial"/>
      <family val="2"/>
    </font>
    <font>
      <sz val="10"/>
      <color indexed="31"/>
      <name val="Arial"/>
      <family val="2"/>
    </font>
    <font>
      <b/>
      <sz val="12"/>
      <color indexed="8"/>
      <name val="Arial"/>
      <family val="2"/>
    </font>
    <font>
      <b/>
      <sz val="13"/>
      <color indexed="8"/>
      <name val="Arial"/>
      <family val="2"/>
    </font>
    <font>
      <sz val="11"/>
      <color indexed="8"/>
      <name val="Arial"/>
      <family val="2"/>
    </font>
    <font>
      <sz val="11"/>
      <color indexed="55"/>
      <name val="Arial"/>
      <family val="2"/>
    </font>
    <font>
      <sz val="11"/>
      <color indexed="63"/>
      <name val="Arial"/>
      <family val="2"/>
    </font>
    <font>
      <sz val="10"/>
      <color indexed="63"/>
      <name val="Arial"/>
      <family val="2"/>
    </font>
    <font>
      <u val="single"/>
      <sz val="11"/>
      <color indexed="8"/>
      <name val="Arial"/>
      <family val="2"/>
    </font>
    <font>
      <b/>
      <u val="single"/>
      <sz val="11"/>
      <color indexed="8"/>
      <name val="Arial"/>
      <family val="2"/>
    </font>
    <font>
      <sz val="12"/>
      <color indexed="8"/>
      <name val="Arial"/>
      <family val="2"/>
    </font>
    <font>
      <b/>
      <u val="single"/>
      <sz val="28"/>
      <name val="Arial"/>
      <family val="2"/>
    </font>
    <font>
      <b/>
      <u val="single"/>
      <sz val="15"/>
      <name val="Arial"/>
      <family val="2"/>
    </font>
    <font>
      <sz val="12"/>
      <name val="Arial"/>
      <family val="2"/>
    </font>
    <font>
      <b/>
      <sz val="12"/>
      <name val="Arial"/>
      <family val="2"/>
    </font>
    <font>
      <b/>
      <sz val="14"/>
      <name val="Arial"/>
      <family val="2"/>
    </font>
    <font>
      <sz val="8"/>
      <name val="Arial"/>
      <family val="2"/>
    </font>
    <font>
      <sz val="10"/>
      <color indexed="8"/>
      <name val="Segoe UI"/>
      <family val="0"/>
    </font>
    <font>
      <sz val="14.7"/>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58"/>
      <name val="Calibri"/>
      <family val="2"/>
    </font>
    <font>
      <sz val="12"/>
      <color indexed="20"/>
      <name val="Calibri"/>
      <family val="2"/>
    </font>
    <font>
      <sz val="12"/>
      <color indexed="19"/>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41"/>
      <name val="Calibri"/>
      <family val="2"/>
    </font>
    <font>
      <sz val="12"/>
      <color indexed="10"/>
      <name val="Calibri"/>
      <family val="2"/>
    </font>
    <font>
      <i/>
      <sz val="12"/>
      <color indexed="23"/>
      <name val="Calibri"/>
      <family val="2"/>
    </font>
    <font>
      <b/>
      <sz val="12"/>
      <color indexed="8"/>
      <name val="Calibri"/>
      <family val="2"/>
    </font>
    <font>
      <sz val="12"/>
      <color indexed="41"/>
      <name val="Calibri"/>
      <family val="2"/>
    </font>
    <font>
      <sz val="12"/>
      <color indexed="8"/>
      <name val="Calibri"/>
      <family val="2"/>
    </font>
    <font>
      <u val="single"/>
      <sz val="13"/>
      <color indexed="8"/>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8"/>
      <name val="Arial"/>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1"/>
        <bgColor indexed="64"/>
      </patternFill>
    </fill>
    <fill>
      <patternFill patternType="solid">
        <fgColor indexed="52"/>
        <bgColor indexed="64"/>
      </patternFill>
    </fill>
    <fill>
      <patternFill patternType="solid">
        <fgColor indexed="14"/>
        <bgColor indexed="64"/>
      </patternFill>
    </fill>
    <fill>
      <patternFill patternType="solid">
        <fgColor indexed="10"/>
        <bgColor indexed="64"/>
      </patternFill>
    </fill>
    <fill>
      <patternFill patternType="solid">
        <fgColor indexed="1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4"/>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34"/>
        <bgColor indexed="64"/>
      </patternFill>
    </fill>
    <fill>
      <patternFill patternType="solid">
        <fgColor indexed="47"/>
        <bgColor indexed="64"/>
      </patternFill>
    </fill>
    <fill>
      <patternFill patternType="solid">
        <fgColor indexed="25"/>
        <bgColor indexed="64"/>
      </patternFill>
    </fill>
    <fill>
      <patternFill patternType="solid">
        <fgColor indexed="53"/>
        <bgColor indexed="64"/>
      </patternFill>
    </fill>
    <fill>
      <patternFill patternType="solid">
        <fgColor indexed="41"/>
        <bgColor indexed="64"/>
      </patternFill>
    </fill>
    <fill>
      <patternFill patternType="solid">
        <fgColor indexed="50"/>
        <bgColor indexed="64"/>
      </patternFill>
    </fill>
    <fill>
      <patternFill patternType="solid">
        <fgColor indexed="30"/>
        <bgColor indexed="64"/>
      </patternFill>
    </fill>
    <fill>
      <patternFill patternType="solid">
        <fgColor indexed="29"/>
        <bgColor indexed="64"/>
      </patternFill>
    </fill>
    <fill>
      <patternFill patternType="solid">
        <fgColor indexed="43"/>
        <bgColor indexed="64"/>
      </patternFill>
    </fill>
    <fill>
      <patternFill patternType="solid">
        <fgColor indexed="21"/>
        <bgColor indexed="64"/>
      </patternFill>
    </fill>
    <fill>
      <patternFill patternType="solid">
        <fgColor indexed="40"/>
        <bgColor indexed="64"/>
      </patternFill>
    </fill>
    <fill>
      <patternFill patternType="solid">
        <fgColor indexed="27"/>
        <bgColor indexed="64"/>
      </patternFill>
    </fill>
    <fill>
      <patternFill patternType="solid">
        <fgColor indexed="17"/>
        <bgColor indexed="64"/>
      </patternFill>
    </fill>
    <fill>
      <patternFill patternType="solid">
        <fgColor indexed="2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53" fillId="31" borderId="0" applyNumberFormat="0" applyBorder="0" applyAlignment="0" applyProtection="0"/>
    <xf numFmtId="0" fontId="54" fillId="32" borderId="1" applyNumberFormat="0" applyAlignment="0" applyProtection="0"/>
    <xf numFmtId="0" fontId="55" fillId="33"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6" fillId="0" borderId="0" applyNumberFormat="0" applyFill="0" applyBorder="0" applyAlignment="0" applyProtection="0"/>
    <xf numFmtId="0" fontId="57" fillId="34"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5" borderId="1" applyNumberFormat="0" applyAlignment="0" applyProtection="0"/>
    <xf numFmtId="0" fontId="62" fillId="0" borderId="6" applyNumberFormat="0" applyFill="0" applyAlignment="0" applyProtection="0"/>
    <xf numFmtId="0" fontId="63" fillId="36" borderId="0" applyNumberFormat="0" applyBorder="0" applyAlignment="0" applyProtection="0"/>
    <xf numFmtId="0" fontId="0" fillId="37" borderId="7" applyNumberFormat="0" applyFont="0" applyAlignment="0" applyProtection="0"/>
    <xf numFmtId="0" fontId="64" fillId="32" borderId="8" applyNumberFormat="0" applyAlignment="0" applyProtection="0"/>
    <xf numFmtId="9" fontId="0" fillId="0" borderId="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47">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0" fillId="0" borderId="0" xfId="0" applyFont="1" applyAlignment="1">
      <alignment horizontal="right"/>
    </xf>
    <xf numFmtId="0" fontId="0" fillId="0" borderId="0" xfId="0" applyFont="1" applyAlignment="1">
      <alignment horizontal="left"/>
    </xf>
    <xf numFmtId="0" fontId="5" fillId="0" borderId="0" xfId="0" applyFont="1" applyAlignment="1">
      <alignment horizontal="right"/>
    </xf>
    <xf numFmtId="0" fontId="0" fillId="29" borderId="0" xfId="0" applyFont="1" applyFill="1" applyAlignment="1">
      <alignment/>
    </xf>
    <xf numFmtId="1" fontId="0" fillId="0" borderId="0" xfId="0" applyNumberFormat="1" applyAlignment="1">
      <alignment/>
    </xf>
    <xf numFmtId="0" fontId="6" fillId="0" borderId="0" xfId="0" applyFont="1" applyFill="1" applyAlignment="1">
      <alignment horizontal="center"/>
    </xf>
    <xf numFmtId="0" fontId="7" fillId="0" borderId="10" xfId="0" applyNumberFormat="1" applyFont="1" applyFill="1" applyBorder="1" applyAlignment="1">
      <alignment horizontal="center" wrapText="1"/>
    </xf>
    <xf numFmtId="10" fontId="6" fillId="0" borderId="0" xfId="0" applyNumberFormat="1" applyFont="1" applyAlignment="1">
      <alignment horizontal="center"/>
    </xf>
    <xf numFmtId="10" fontId="6" fillId="0" borderId="10" xfId="0" applyNumberFormat="1" applyFont="1" applyFill="1" applyBorder="1" applyAlignment="1">
      <alignment horizontal="center" wrapText="1"/>
    </xf>
    <xf numFmtId="0" fontId="6" fillId="0" borderId="0" xfId="0" applyFont="1" applyAlignment="1">
      <alignment horizontal="center"/>
    </xf>
    <xf numFmtId="0" fontId="6" fillId="0" borderId="0" xfId="0" applyFont="1" applyAlignment="1">
      <alignment horizontal="center" vertical="center"/>
    </xf>
    <xf numFmtId="0" fontId="8" fillId="0" borderId="0" xfId="0" applyFont="1" applyAlignment="1">
      <alignment horizontal="center"/>
    </xf>
    <xf numFmtId="0" fontId="9" fillId="0" borderId="0" xfId="0" applyFont="1" applyAlignment="1">
      <alignment horizontal="center" vertical="center"/>
    </xf>
    <xf numFmtId="0" fontId="0" fillId="0" borderId="0" xfId="0" applyFont="1" applyAlignment="1">
      <alignment horizontal="center" vertical="center"/>
    </xf>
    <xf numFmtId="0" fontId="10" fillId="38" borderId="11" xfId="0" applyNumberFormat="1" applyFont="1" applyFill="1" applyBorder="1" applyAlignment="1">
      <alignment horizontal="right"/>
    </xf>
    <xf numFmtId="3" fontId="11" fillId="38" borderId="12" xfId="0" applyNumberFormat="1" applyFont="1" applyFill="1" applyBorder="1" applyAlignment="1">
      <alignment/>
    </xf>
    <xf numFmtId="164" fontId="11" fillId="38" borderId="12" xfId="0" applyNumberFormat="1" applyFont="1" applyFill="1" applyBorder="1" applyAlignment="1">
      <alignment horizontal="right"/>
    </xf>
    <xf numFmtId="165" fontId="10" fillId="38" borderId="12" xfId="0" applyNumberFormat="1" applyFont="1" applyFill="1" applyBorder="1" applyAlignment="1">
      <alignment/>
    </xf>
    <xf numFmtId="2" fontId="12" fillId="38" borderId="12" xfId="0" applyNumberFormat="1" applyFont="1" applyFill="1" applyBorder="1" applyAlignment="1">
      <alignment horizontal="right"/>
    </xf>
    <xf numFmtId="2" fontId="0" fillId="0" borderId="11" xfId="0" applyNumberFormat="1" applyBorder="1" applyAlignment="1">
      <alignment horizontal="center"/>
    </xf>
    <xf numFmtId="2" fontId="0" fillId="0" borderId="12" xfId="0" applyNumberFormat="1" applyBorder="1" applyAlignment="1">
      <alignment horizontal="center"/>
    </xf>
    <xf numFmtId="49" fontId="0" fillId="0" borderId="12" xfId="0" applyNumberFormat="1" applyFont="1" applyBorder="1" applyAlignment="1">
      <alignment horizontal="center" vertical="center"/>
    </xf>
    <xf numFmtId="2" fontId="0" fillId="0" borderId="12" xfId="0" applyNumberFormat="1" applyFont="1" applyBorder="1" applyAlignment="1">
      <alignment horizontal="center" vertical="center"/>
    </xf>
    <xf numFmtId="166" fontId="0" fillId="0" borderId="13" xfId="0" applyNumberFormat="1" applyFont="1" applyBorder="1" applyAlignment="1">
      <alignment horizontal="left"/>
    </xf>
    <xf numFmtId="165" fontId="0" fillId="0" borderId="12" xfId="0" applyNumberFormat="1" applyFont="1" applyFill="1" applyBorder="1" applyAlignment="1">
      <alignment horizontal="center"/>
    </xf>
    <xf numFmtId="166" fontId="0" fillId="39" borderId="12" xfId="0" applyNumberFormat="1" applyFill="1" applyBorder="1" applyAlignment="1">
      <alignment horizontal="center"/>
    </xf>
    <xf numFmtId="167" fontId="0" fillId="39" borderId="12" xfId="0" applyNumberFormat="1" applyFill="1" applyBorder="1" applyAlignment="1">
      <alignment horizontal="center"/>
    </xf>
    <xf numFmtId="9" fontId="0" fillId="0" borderId="13" xfId="0" applyNumberFormat="1" applyBorder="1" applyAlignment="1">
      <alignment horizontal="center"/>
    </xf>
    <xf numFmtId="0" fontId="10" fillId="40" borderId="14" xfId="0" applyNumberFormat="1" applyFont="1" applyFill="1" applyBorder="1" applyAlignment="1">
      <alignment horizontal="right"/>
    </xf>
    <xf numFmtId="3" fontId="11" fillId="40" borderId="0" xfId="0" applyNumberFormat="1" applyFont="1" applyFill="1" applyAlignment="1">
      <alignment/>
    </xf>
    <xf numFmtId="168" fontId="0" fillId="40" borderId="0" xfId="0" applyNumberFormat="1" applyFont="1" applyFill="1" applyAlignment="1">
      <alignment/>
    </xf>
    <xf numFmtId="165" fontId="10" fillId="40" borderId="0" xfId="0" applyNumberFormat="1" applyFont="1" applyFill="1" applyAlignment="1">
      <alignment/>
    </xf>
    <xf numFmtId="2" fontId="12" fillId="40" borderId="0" xfId="0" applyNumberFormat="1" applyFont="1" applyFill="1" applyAlignment="1">
      <alignment horizontal="right" vertical="center"/>
    </xf>
    <xf numFmtId="2" fontId="0" fillId="0" borderId="14" xfId="0" applyNumberFormat="1" applyBorder="1" applyAlignment="1">
      <alignment horizontal="center"/>
    </xf>
    <xf numFmtId="2" fontId="0" fillId="0" borderId="0" xfId="0" applyNumberFormat="1" applyBorder="1" applyAlignment="1">
      <alignment horizontal="center"/>
    </xf>
    <xf numFmtId="49" fontId="0"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166" fontId="0" fillId="0" borderId="15" xfId="0" applyNumberFormat="1" applyFont="1" applyBorder="1" applyAlignment="1">
      <alignment horizontal="left"/>
    </xf>
    <xf numFmtId="165" fontId="0" fillId="0" borderId="0" xfId="0" applyNumberFormat="1" applyFont="1" applyBorder="1" applyAlignment="1">
      <alignment horizontal="center"/>
    </xf>
    <xf numFmtId="166" fontId="0" fillId="39" borderId="0" xfId="0" applyNumberFormat="1" applyFill="1" applyBorder="1" applyAlignment="1">
      <alignment horizontal="center"/>
    </xf>
    <xf numFmtId="167" fontId="0" fillId="39" borderId="0" xfId="0" applyNumberFormat="1" applyFill="1" applyBorder="1" applyAlignment="1">
      <alignment horizontal="center"/>
    </xf>
    <xf numFmtId="9" fontId="0" fillId="0" borderId="15" xfId="0" applyNumberFormat="1" applyBorder="1" applyAlignment="1">
      <alignment horizontal="center"/>
    </xf>
    <xf numFmtId="0" fontId="10" fillId="41" borderId="14" xfId="0" applyNumberFormat="1" applyFont="1" applyFill="1" applyBorder="1" applyAlignment="1">
      <alignment horizontal="right"/>
    </xf>
    <xf numFmtId="3" fontId="11" fillId="41" borderId="0" xfId="0" applyNumberFormat="1" applyFont="1" applyFill="1" applyAlignment="1">
      <alignment/>
    </xf>
    <xf numFmtId="164" fontId="11" fillId="41" borderId="0" xfId="0" applyNumberFormat="1" applyFont="1" applyFill="1" applyAlignment="1">
      <alignment horizontal="right"/>
    </xf>
    <xf numFmtId="165" fontId="10" fillId="41" borderId="0" xfId="0" applyNumberFormat="1" applyFont="1" applyFill="1" applyAlignment="1">
      <alignment/>
    </xf>
    <xf numFmtId="2" fontId="12" fillId="41" borderId="0" xfId="0" applyNumberFormat="1" applyFont="1" applyFill="1" applyAlignment="1">
      <alignment horizontal="right" vertical="center"/>
    </xf>
    <xf numFmtId="0" fontId="10" fillId="30" borderId="14" xfId="0" applyNumberFormat="1" applyFont="1" applyFill="1" applyBorder="1" applyAlignment="1">
      <alignment horizontal="right"/>
    </xf>
    <xf numFmtId="3" fontId="11" fillId="30" borderId="0" xfId="0" applyNumberFormat="1" applyFont="1" applyFill="1" applyAlignment="1">
      <alignment/>
    </xf>
    <xf numFmtId="164" fontId="11" fillId="30" borderId="0" xfId="0" applyNumberFormat="1" applyFont="1" applyFill="1" applyAlignment="1">
      <alignment horizontal="right"/>
    </xf>
    <xf numFmtId="165" fontId="10" fillId="30" borderId="0" xfId="0" applyNumberFormat="1" applyFont="1" applyFill="1" applyAlignment="1">
      <alignment/>
    </xf>
    <xf numFmtId="2" fontId="12" fillId="42" borderId="0" xfId="0" applyNumberFormat="1" applyFont="1" applyFill="1" applyAlignment="1">
      <alignment horizontal="right" vertical="center"/>
    </xf>
    <xf numFmtId="0" fontId="10" fillId="43" borderId="14" xfId="0" applyNumberFormat="1" applyFont="1" applyFill="1" applyBorder="1" applyAlignment="1">
      <alignment horizontal="right"/>
    </xf>
    <xf numFmtId="3" fontId="11" fillId="43" borderId="0" xfId="0" applyNumberFormat="1" applyFont="1" applyFill="1" applyAlignment="1">
      <alignment/>
    </xf>
    <xf numFmtId="164" fontId="11" fillId="43" borderId="0" xfId="0" applyNumberFormat="1" applyFont="1" applyFill="1" applyAlignment="1">
      <alignment horizontal="right"/>
    </xf>
    <xf numFmtId="165" fontId="10" fillId="43" borderId="0" xfId="0" applyNumberFormat="1" applyFont="1" applyFill="1" applyAlignment="1">
      <alignment/>
    </xf>
    <xf numFmtId="2" fontId="12" fillId="43" borderId="0" xfId="0" applyNumberFormat="1" applyFont="1" applyFill="1" applyAlignment="1">
      <alignment horizontal="right" vertical="center"/>
    </xf>
    <xf numFmtId="0" fontId="10" fillId="44" borderId="14" xfId="0" applyNumberFormat="1" applyFont="1" applyFill="1" applyBorder="1" applyAlignment="1">
      <alignment horizontal="right"/>
    </xf>
    <xf numFmtId="3" fontId="11" fillId="44" borderId="0" xfId="0" applyNumberFormat="1" applyFont="1" applyFill="1" applyAlignment="1">
      <alignment/>
    </xf>
    <xf numFmtId="164" fontId="11" fillId="44" borderId="0" xfId="0" applyNumberFormat="1" applyFont="1" applyFill="1" applyAlignment="1">
      <alignment horizontal="right"/>
    </xf>
    <xf numFmtId="165" fontId="10" fillId="44" borderId="0" xfId="0" applyNumberFormat="1" applyFont="1" applyFill="1" applyAlignment="1">
      <alignment/>
    </xf>
    <xf numFmtId="2" fontId="12" fillId="45" borderId="0" xfId="0" applyNumberFormat="1" applyFont="1" applyFill="1" applyAlignment="1">
      <alignment horizontal="right" vertical="center"/>
    </xf>
    <xf numFmtId="0" fontId="10" fillId="46" borderId="14" xfId="0" applyNumberFormat="1" applyFont="1" applyFill="1" applyBorder="1" applyAlignment="1">
      <alignment horizontal="right"/>
    </xf>
    <xf numFmtId="3" fontId="11" fillId="46" borderId="0" xfId="0" applyNumberFormat="1" applyFont="1" applyFill="1" applyAlignment="1">
      <alignment/>
    </xf>
    <xf numFmtId="164" fontId="11" fillId="46" borderId="0" xfId="0" applyNumberFormat="1" applyFont="1" applyFill="1" applyAlignment="1">
      <alignment horizontal="right"/>
    </xf>
    <xf numFmtId="165" fontId="10" fillId="46" borderId="0" xfId="0" applyNumberFormat="1" applyFont="1" applyFill="1" applyAlignment="1">
      <alignment/>
    </xf>
    <xf numFmtId="2" fontId="12" fillId="46" borderId="0" xfId="0" applyNumberFormat="1" applyFont="1" applyFill="1" applyAlignment="1">
      <alignment horizontal="right" vertical="center"/>
    </xf>
    <xf numFmtId="165" fontId="0" fillId="0" borderId="0" xfId="0" applyNumberFormat="1" applyFill="1" applyAlignment="1">
      <alignment horizontal="center"/>
    </xf>
    <xf numFmtId="0" fontId="10" fillId="47" borderId="14" xfId="0" applyNumberFormat="1" applyFont="1" applyFill="1" applyBorder="1" applyAlignment="1">
      <alignment horizontal="right"/>
    </xf>
    <xf numFmtId="3" fontId="11" fillId="47" borderId="0" xfId="0" applyNumberFormat="1" applyFont="1" applyFill="1" applyAlignment="1">
      <alignment/>
    </xf>
    <xf numFmtId="164" fontId="11" fillId="47" borderId="0" xfId="0" applyNumberFormat="1" applyFont="1" applyFill="1" applyAlignment="1">
      <alignment horizontal="right"/>
    </xf>
    <xf numFmtId="165" fontId="10" fillId="47" borderId="0" xfId="0" applyNumberFormat="1" applyFont="1" applyFill="1" applyAlignment="1">
      <alignment/>
    </xf>
    <xf numFmtId="2" fontId="12" fillId="47" borderId="0" xfId="0" applyNumberFormat="1" applyFont="1" applyFill="1" applyAlignment="1">
      <alignment horizontal="right" vertical="center"/>
    </xf>
    <xf numFmtId="0" fontId="3" fillId="48" borderId="14" xfId="0" applyFont="1" applyFill="1" applyBorder="1" applyAlignment="1">
      <alignment horizontal="right"/>
    </xf>
    <xf numFmtId="0" fontId="0" fillId="48" borderId="0" xfId="0" applyFill="1" applyAlignment="1">
      <alignment/>
    </xf>
    <xf numFmtId="168" fontId="0" fillId="48" borderId="0" xfId="0" applyNumberFormat="1" applyFill="1" applyAlignment="1">
      <alignment/>
    </xf>
    <xf numFmtId="165" fontId="10" fillId="48" borderId="0" xfId="0" applyNumberFormat="1" applyFont="1" applyFill="1" applyAlignment="1">
      <alignment/>
    </xf>
    <xf numFmtId="2" fontId="12" fillId="48" borderId="0" xfId="0" applyNumberFormat="1" applyFont="1" applyFill="1" applyAlignment="1">
      <alignment horizontal="right" vertical="center"/>
    </xf>
    <xf numFmtId="0" fontId="10" fillId="49" borderId="14" xfId="0" applyNumberFormat="1" applyFont="1" applyFill="1" applyBorder="1" applyAlignment="1">
      <alignment horizontal="right"/>
    </xf>
    <xf numFmtId="3" fontId="11" fillId="49" borderId="0" xfId="0" applyNumberFormat="1" applyFont="1" applyFill="1" applyAlignment="1">
      <alignment/>
    </xf>
    <xf numFmtId="168" fontId="0" fillId="49" borderId="0" xfId="0" applyNumberFormat="1" applyFont="1" applyFill="1" applyAlignment="1">
      <alignment/>
    </xf>
    <xf numFmtId="165" fontId="10" fillId="49" borderId="0" xfId="0" applyNumberFormat="1" applyFont="1" applyFill="1" applyAlignment="1">
      <alignment/>
    </xf>
    <xf numFmtId="2" fontId="12" fillId="49" borderId="0" xfId="0" applyNumberFormat="1" applyFont="1" applyFill="1" applyAlignment="1">
      <alignment horizontal="right" vertical="center"/>
    </xf>
    <xf numFmtId="0" fontId="10" fillId="50" borderId="14" xfId="0" applyNumberFormat="1" applyFont="1" applyFill="1" applyBorder="1" applyAlignment="1">
      <alignment horizontal="right"/>
    </xf>
    <xf numFmtId="3" fontId="11" fillId="50" borderId="0" xfId="0" applyNumberFormat="1" applyFont="1" applyFill="1" applyAlignment="1">
      <alignment/>
    </xf>
    <xf numFmtId="168" fontId="0" fillId="50" borderId="0" xfId="0" applyNumberFormat="1" applyFont="1" applyFill="1" applyAlignment="1">
      <alignment/>
    </xf>
    <xf numFmtId="165" fontId="10" fillId="50" borderId="0" xfId="0" applyNumberFormat="1" applyFont="1" applyFill="1" applyAlignment="1">
      <alignment/>
    </xf>
    <xf numFmtId="2" fontId="12" fillId="50" borderId="0" xfId="0" applyNumberFormat="1" applyFont="1" applyFill="1" applyAlignment="1">
      <alignment horizontal="right" vertical="center"/>
    </xf>
    <xf numFmtId="0" fontId="10" fillId="48" borderId="14" xfId="0" applyNumberFormat="1" applyFont="1" applyFill="1" applyBorder="1" applyAlignment="1">
      <alignment horizontal="right"/>
    </xf>
    <xf numFmtId="3" fontId="11" fillId="48" borderId="0" xfId="0" applyNumberFormat="1" applyFont="1" applyFill="1" applyBorder="1" applyAlignment="1">
      <alignment/>
    </xf>
    <xf numFmtId="164" fontId="11" fillId="48" borderId="0" xfId="0" applyNumberFormat="1" applyFont="1" applyFill="1" applyBorder="1" applyAlignment="1">
      <alignment horizontal="right"/>
    </xf>
    <xf numFmtId="165" fontId="10" fillId="48" borderId="0" xfId="0" applyNumberFormat="1" applyFont="1" applyFill="1" applyBorder="1" applyAlignment="1">
      <alignment/>
    </xf>
    <xf numFmtId="3" fontId="11" fillId="46" borderId="0" xfId="0" applyNumberFormat="1" applyFont="1" applyFill="1" applyBorder="1" applyAlignment="1">
      <alignment/>
    </xf>
    <xf numFmtId="164" fontId="11" fillId="46" borderId="0" xfId="0" applyNumberFormat="1" applyFont="1" applyFill="1" applyBorder="1" applyAlignment="1">
      <alignment horizontal="right"/>
    </xf>
    <xf numFmtId="165" fontId="10" fillId="46" borderId="0" xfId="0" applyNumberFormat="1" applyFont="1" applyFill="1" applyBorder="1" applyAlignment="1">
      <alignment/>
    </xf>
    <xf numFmtId="2" fontId="12" fillId="46" borderId="0" xfId="0" applyNumberFormat="1" applyFont="1" applyFill="1" applyBorder="1" applyAlignment="1">
      <alignment horizontal="right" vertical="center"/>
    </xf>
    <xf numFmtId="0" fontId="11" fillId="46" borderId="14" xfId="0" applyNumberFormat="1" applyFont="1" applyFill="1" applyBorder="1" applyAlignment="1">
      <alignment horizontal="right" wrapText="1"/>
    </xf>
    <xf numFmtId="0" fontId="11" fillId="51" borderId="14" xfId="0" applyNumberFormat="1" applyFont="1" applyFill="1" applyBorder="1" applyAlignment="1">
      <alignment horizontal="right" wrapText="1"/>
    </xf>
    <xf numFmtId="3" fontId="11" fillId="51" borderId="0" xfId="0" applyNumberFormat="1" applyFont="1" applyFill="1" applyAlignment="1">
      <alignment/>
    </xf>
    <xf numFmtId="164" fontId="11" fillId="51" borderId="0" xfId="0" applyNumberFormat="1" applyFont="1" applyFill="1" applyAlignment="1">
      <alignment horizontal="right"/>
    </xf>
    <xf numFmtId="165" fontId="10" fillId="51" borderId="0" xfId="0" applyNumberFormat="1" applyFont="1" applyFill="1" applyAlignment="1">
      <alignment/>
    </xf>
    <xf numFmtId="2" fontId="12" fillId="52" borderId="0" xfId="0" applyNumberFormat="1" applyFont="1" applyFill="1" applyAlignment="1">
      <alignment horizontal="right" vertical="center"/>
    </xf>
    <xf numFmtId="0" fontId="11" fillId="49" borderId="14" xfId="0" applyNumberFormat="1" applyFont="1" applyFill="1" applyBorder="1" applyAlignment="1">
      <alignment horizontal="right" wrapText="1"/>
    </xf>
    <xf numFmtId="164" fontId="11" fillId="49" borderId="0" xfId="0" applyNumberFormat="1" applyFont="1" applyFill="1" applyAlignment="1">
      <alignment horizontal="right"/>
    </xf>
    <xf numFmtId="0" fontId="0" fillId="0" borderId="16" xfId="0" applyFont="1" applyBorder="1" applyAlignment="1">
      <alignment horizontal="right"/>
    </xf>
    <xf numFmtId="2" fontId="0" fillId="0" borderId="16" xfId="0" applyNumberFormat="1" applyBorder="1" applyAlignment="1">
      <alignment horizontal="center"/>
    </xf>
    <xf numFmtId="2" fontId="0" fillId="0" borderId="17" xfId="0" applyNumberFormat="1" applyBorder="1" applyAlignment="1">
      <alignment horizontal="center"/>
    </xf>
    <xf numFmtId="49" fontId="0" fillId="0" borderId="17" xfId="0" applyNumberFormat="1" applyFont="1" applyBorder="1" applyAlignment="1">
      <alignment horizontal="center" vertical="center"/>
    </xf>
    <xf numFmtId="2" fontId="0" fillId="0" borderId="17" xfId="0" applyNumberFormat="1" applyFont="1" applyBorder="1" applyAlignment="1">
      <alignment horizontal="center" vertical="center"/>
    </xf>
    <xf numFmtId="166" fontId="0" fillId="0" borderId="18" xfId="0" applyNumberFormat="1" applyFont="1" applyBorder="1" applyAlignment="1">
      <alignment horizontal="left"/>
    </xf>
    <xf numFmtId="165" fontId="0" fillId="0" borderId="17" xfId="0" applyNumberFormat="1" applyFont="1" applyBorder="1" applyAlignment="1">
      <alignment horizontal="center"/>
    </xf>
    <xf numFmtId="166" fontId="0" fillId="39" borderId="17" xfId="0" applyNumberFormat="1" applyFill="1" applyBorder="1" applyAlignment="1">
      <alignment horizontal="center"/>
    </xf>
    <xf numFmtId="167" fontId="0" fillId="39" borderId="17" xfId="0" applyNumberFormat="1" applyFill="1" applyBorder="1" applyAlignment="1">
      <alignment horizontal="center"/>
    </xf>
    <xf numFmtId="9" fontId="0" fillId="0" borderId="18" xfId="0" applyNumberFormat="1" applyBorder="1" applyAlignment="1">
      <alignment horizontal="center"/>
    </xf>
    <xf numFmtId="0" fontId="13" fillId="0" borderId="11" xfId="0" applyNumberFormat="1" applyFont="1" applyFill="1" applyBorder="1" applyAlignment="1">
      <alignment horizontal="right"/>
    </xf>
    <xf numFmtId="0" fontId="14" fillId="0" borderId="12" xfId="0" applyNumberFormat="1" applyFont="1" applyFill="1" applyBorder="1" applyAlignment="1">
      <alignment vertical="center"/>
    </xf>
    <xf numFmtId="169" fontId="11" fillId="0" borderId="12" xfId="0" applyNumberFormat="1" applyFont="1" applyFill="1" applyBorder="1" applyAlignment="1">
      <alignment horizontal="right"/>
    </xf>
    <xf numFmtId="165" fontId="10" fillId="0" borderId="12" xfId="0" applyNumberFormat="1" applyFont="1" applyFill="1" applyBorder="1" applyAlignment="1">
      <alignment/>
    </xf>
    <xf numFmtId="3" fontId="14" fillId="0" borderId="13" xfId="0" applyNumberFormat="1" applyFont="1" applyFill="1" applyBorder="1" applyAlignment="1">
      <alignment horizontal="right"/>
    </xf>
    <xf numFmtId="170" fontId="0" fillId="28" borderId="11" xfId="0" applyNumberFormat="1" applyFill="1" applyBorder="1" applyAlignment="1">
      <alignment horizontal="center"/>
    </xf>
    <xf numFmtId="170" fontId="0" fillId="28" borderId="12" xfId="0" applyNumberFormat="1" applyFill="1" applyBorder="1" applyAlignment="1">
      <alignment horizontal="center" vertical="center"/>
    </xf>
    <xf numFmtId="0" fontId="0" fillId="0" borderId="12" xfId="0" applyBorder="1" applyAlignment="1">
      <alignment/>
    </xf>
    <xf numFmtId="9" fontId="0" fillId="28" borderId="12" xfId="0" applyNumberFormat="1" applyFill="1" applyBorder="1" applyAlignment="1">
      <alignment horizontal="center"/>
    </xf>
    <xf numFmtId="171" fontId="12" fillId="28" borderId="12" xfId="0" applyNumberFormat="1" applyFont="1" applyFill="1" applyBorder="1" applyAlignment="1">
      <alignment horizontal="center" wrapText="1"/>
    </xf>
    <xf numFmtId="0" fontId="0" fillId="0" borderId="12" xfId="0" applyBorder="1" applyAlignment="1">
      <alignment horizontal="center"/>
    </xf>
    <xf numFmtId="9" fontId="0" fillId="28" borderId="13" xfId="0" applyNumberFormat="1" applyFill="1" applyBorder="1" applyAlignment="1">
      <alignment horizontal="center"/>
    </xf>
    <xf numFmtId="0" fontId="13" fillId="53" borderId="14" xfId="0" applyNumberFormat="1" applyFont="1" applyFill="1" applyBorder="1" applyAlignment="1">
      <alignment horizontal="right"/>
    </xf>
    <xf numFmtId="0" fontId="5" fillId="53" borderId="0" xfId="0" applyFont="1" applyFill="1" applyBorder="1" applyAlignment="1">
      <alignment/>
    </xf>
    <xf numFmtId="169" fontId="11" fillId="53" borderId="0" xfId="0" applyNumberFormat="1" applyFont="1" applyFill="1" applyBorder="1" applyAlignment="1">
      <alignment horizontal="right"/>
    </xf>
    <xf numFmtId="165" fontId="10" fillId="53" borderId="0" xfId="0" applyNumberFormat="1" applyFont="1" applyFill="1" applyBorder="1" applyAlignment="1">
      <alignment/>
    </xf>
    <xf numFmtId="0" fontId="5" fillId="0" borderId="0" xfId="0" applyFont="1" applyBorder="1" applyAlignment="1">
      <alignment/>
    </xf>
    <xf numFmtId="3" fontId="14" fillId="0" borderId="15" xfId="0" applyNumberFormat="1" applyFont="1" applyFill="1" applyBorder="1" applyAlignment="1">
      <alignment horizontal="right"/>
    </xf>
    <xf numFmtId="170" fontId="0" fillId="28" borderId="14" xfId="0" applyNumberFormat="1" applyFill="1" applyBorder="1" applyAlignment="1">
      <alignment horizontal="center"/>
    </xf>
    <xf numFmtId="170" fontId="0" fillId="28" borderId="0" xfId="0" applyNumberFormat="1" applyFill="1" applyBorder="1" applyAlignment="1">
      <alignment horizontal="center" vertical="center"/>
    </xf>
    <xf numFmtId="167" fontId="0" fillId="0" borderId="0" xfId="0" applyNumberFormat="1" applyBorder="1" applyAlignment="1">
      <alignment/>
    </xf>
    <xf numFmtId="172" fontId="12" fillId="28" borderId="0" xfId="0" applyNumberFormat="1" applyFont="1" applyFill="1" applyBorder="1" applyAlignment="1">
      <alignment horizontal="center" wrapText="1"/>
    </xf>
    <xf numFmtId="9" fontId="0" fillId="28" borderId="15" xfId="0" applyNumberFormat="1" applyFill="1" applyBorder="1" applyAlignment="1">
      <alignment horizontal="center"/>
    </xf>
    <xf numFmtId="0" fontId="13" fillId="26" borderId="16" xfId="0" applyNumberFormat="1" applyFont="1" applyFill="1" applyBorder="1" applyAlignment="1">
      <alignment horizontal="right"/>
    </xf>
    <xf numFmtId="3" fontId="14" fillId="26" borderId="17" xfId="0" applyNumberFormat="1" applyFont="1" applyFill="1" applyBorder="1" applyAlignment="1">
      <alignment/>
    </xf>
    <xf numFmtId="169" fontId="11" fillId="26" borderId="17" xfId="0" applyNumberFormat="1" applyFont="1" applyFill="1" applyBorder="1" applyAlignment="1">
      <alignment horizontal="right"/>
    </xf>
    <xf numFmtId="165" fontId="10" fillId="26" borderId="17" xfId="0" applyNumberFormat="1" applyFont="1" applyFill="1" applyBorder="1" applyAlignment="1">
      <alignment/>
    </xf>
    <xf numFmtId="3" fontId="14" fillId="26" borderId="18" xfId="0" applyNumberFormat="1" applyFont="1" applyFill="1" applyBorder="1" applyAlignment="1">
      <alignment horizontal="right"/>
    </xf>
    <xf numFmtId="0" fontId="0" fillId="0" borderId="16" xfId="0" applyBorder="1" applyAlignment="1">
      <alignment/>
    </xf>
    <xf numFmtId="0" fontId="0" fillId="0" borderId="17" xfId="0" applyBorder="1" applyAlignment="1">
      <alignment/>
    </xf>
    <xf numFmtId="0" fontId="11" fillId="0" borderId="17" xfId="0" applyNumberFormat="1" applyFont="1" applyFill="1" applyBorder="1" applyAlignment="1">
      <alignment horizontal="right" wrapText="1"/>
    </xf>
    <xf numFmtId="170" fontId="15" fillId="0" borderId="17" xfId="0" applyNumberFormat="1" applyFont="1" applyBorder="1" applyAlignment="1">
      <alignment horizontal="center" vertical="center"/>
    </xf>
    <xf numFmtId="0" fontId="0" fillId="0" borderId="18" xfId="0" applyBorder="1" applyAlignment="1">
      <alignment/>
    </xf>
    <xf numFmtId="0" fontId="13" fillId="0" borderId="0" xfId="0" applyNumberFormat="1" applyFont="1" applyFill="1" applyBorder="1" applyAlignment="1">
      <alignment horizontal="right"/>
    </xf>
    <xf numFmtId="164" fontId="14" fillId="26" borderId="19" xfId="0" applyNumberFormat="1" applyFont="1" applyFill="1" applyBorder="1" applyAlignment="1">
      <alignment horizontal="right"/>
    </xf>
    <xf numFmtId="169" fontId="16" fillId="26" borderId="20" xfId="0" applyNumberFormat="1" applyFont="1" applyFill="1" applyBorder="1" applyAlignment="1">
      <alignment horizontal="right"/>
    </xf>
    <xf numFmtId="165" fontId="16" fillId="26" borderId="20" xfId="0" applyNumberFormat="1" applyFont="1" applyFill="1" applyBorder="1" applyAlignment="1">
      <alignment/>
    </xf>
    <xf numFmtId="3" fontId="11" fillId="26" borderId="20" xfId="0" applyNumberFormat="1" applyFont="1" applyFill="1" applyBorder="1" applyAlignment="1">
      <alignment horizontal="center"/>
    </xf>
    <xf numFmtId="168" fontId="17" fillId="26" borderId="21" xfId="0" applyNumberFormat="1" applyFont="1" applyFill="1" applyBorder="1" applyAlignment="1">
      <alignment horizontal="center" wrapText="1"/>
    </xf>
    <xf numFmtId="168" fontId="11" fillId="0" borderId="0" xfId="0" applyNumberFormat="1" applyFont="1" applyFill="1" applyBorder="1" applyAlignment="1">
      <alignment horizontal="center" wrapText="1"/>
    </xf>
    <xf numFmtId="170" fontId="0" fillId="0" borderId="0" xfId="0" applyNumberFormat="1" applyFont="1" applyFill="1" applyBorder="1" applyAlignment="1">
      <alignment horizontal="right" vertical="center"/>
    </xf>
    <xf numFmtId="173" fontId="0" fillId="28" borderId="0" xfId="0" applyNumberFormat="1" applyFill="1" applyAlignment="1">
      <alignment horizontal="center"/>
    </xf>
    <xf numFmtId="9" fontId="11" fillId="28" borderId="0" xfId="0" applyNumberFormat="1" applyFont="1" applyFill="1" applyBorder="1" applyAlignment="1">
      <alignment horizontal="left" wrapText="1"/>
    </xf>
    <xf numFmtId="170" fontId="6" fillId="0" borderId="0" xfId="0" applyNumberFormat="1" applyFont="1" applyBorder="1" applyAlignment="1">
      <alignment horizontal="center" vertical="center"/>
    </xf>
    <xf numFmtId="0" fontId="17" fillId="39" borderId="0" xfId="0" applyNumberFormat="1" applyFont="1" applyFill="1" applyAlignment="1">
      <alignment horizontal="left"/>
    </xf>
    <xf numFmtId="0" fontId="18" fillId="39" borderId="0" xfId="0" applyNumberFormat="1" applyFont="1" applyFill="1" applyAlignment="1">
      <alignment/>
    </xf>
    <xf numFmtId="0" fontId="19" fillId="39" borderId="0" xfId="0" applyNumberFormat="1" applyFont="1" applyFill="1" applyAlignment="1">
      <alignment horizontal="right"/>
    </xf>
    <xf numFmtId="174" fontId="19" fillId="39" borderId="0" xfId="0" applyNumberFormat="1" applyFont="1" applyFill="1" applyAlignment="1">
      <alignment horizontal="left"/>
    </xf>
    <xf numFmtId="0" fontId="18" fillId="39" borderId="0" xfId="0" applyNumberFormat="1" applyFont="1" applyFill="1" applyAlignment="1">
      <alignment horizontal="right"/>
    </xf>
    <xf numFmtId="167" fontId="18" fillId="39" borderId="0" xfId="0" applyNumberFormat="1" applyFont="1" applyFill="1" applyAlignment="1">
      <alignment horizontal="left"/>
    </xf>
    <xf numFmtId="0" fontId="20" fillId="39" borderId="0" xfId="0" applyNumberFormat="1" applyFont="1" applyFill="1" applyAlignment="1">
      <alignment horizontal="right"/>
    </xf>
    <xf numFmtId="174" fontId="21" fillId="39" borderId="0" xfId="0" applyNumberFormat="1" applyFont="1" applyFill="1" applyAlignment="1">
      <alignment horizontal="left"/>
    </xf>
    <xf numFmtId="0" fontId="0" fillId="39" borderId="0" xfId="0" applyFill="1" applyAlignment="1">
      <alignment/>
    </xf>
    <xf numFmtId="0" fontId="22" fillId="39" borderId="0" xfId="0" applyNumberFormat="1" applyFont="1" applyFill="1" applyAlignment="1">
      <alignment horizontal="right"/>
    </xf>
    <xf numFmtId="0" fontId="22" fillId="39" borderId="0" xfId="0" applyNumberFormat="1" applyFont="1" applyFill="1" applyAlignment="1">
      <alignment horizontal="center"/>
    </xf>
    <xf numFmtId="0" fontId="23" fillId="39" borderId="0" xfId="0" applyNumberFormat="1" applyFont="1" applyFill="1" applyAlignment="1">
      <alignment horizontal="center"/>
    </xf>
    <xf numFmtId="0" fontId="7" fillId="39" borderId="0" xfId="0" applyNumberFormat="1" applyFont="1" applyFill="1" applyAlignment="1">
      <alignment horizontal="center"/>
    </xf>
    <xf numFmtId="0" fontId="6" fillId="39" borderId="0" xfId="0" applyFont="1" applyFill="1" applyAlignment="1">
      <alignment horizontal="center"/>
    </xf>
    <xf numFmtId="0" fontId="12" fillId="38" borderId="0" xfId="0" applyNumberFormat="1" applyFont="1" applyFill="1" applyAlignment="1">
      <alignment horizontal="right"/>
    </xf>
    <xf numFmtId="175" fontId="18" fillId="38" borderId="0" xfId="0" applyNumberFormat="1" applyFont="1" applyFill="1" applyAlignment="1">
      <alignment/>
    </xf>
    <xf numFmtId="3" fontId="18" fillId="38" borderId="0" xfId="0" applyNumberFormat="1" applyFont="1" applyFill="1" applyAlignment="1">
      <alignment/>
    </xf>
    <xf numFmtId="176" fontId="18" fillId="38" borderId="0" xfId="0" applyNumberFormat="1" applyFont="1" applyFill="1" applyAlignment="1">
      <alignment/>
    </xf>
    <xf numFmtId="2" fontId="18" fillId="38" borderId="0" xfId="0" applyNumberFormat="1" applyFont="1" applyFill="1" applyAlignment="1">
      <alignment/>
    </xf>
    <xf numFmtId="177" fontId="18" fillId="38" borderId="0" xfId="0" applyNumberFormat="1" applyFont="1" applyFill="1" applyAlignment="1">
      <alignment/>
    </xf>
    <xf numFmtId="2" fontId="12" fillId="38" borderId="0" xfId="0" applyNumberFormat="1" applyFont="1" applyFill="1" applyAlignment="1">
      <alignment/>
    </xf>
    <xf numFmtId="165" fontId="18" fillId="38" borderId="0" xfId="0" applyNumberFormat="1" applyFont="1" applyFill="1" applyAlignment="1">
      <alignment/>
    </xf>
    <xf numFmtId="9" fontId="18" fillId="38" borderId="0" xfId="0" applyNumberFormat="1" applyFont="1" applyFill="1" applyAlignment="1">
      <alignment/>
    </xf>
    <xf numFmtId="174" fontId="18" fillId="38" borderId="0" xfId="0" applyNumberFormat="1" applyFont="1" applyFill="1" applyAlignment="1">
      <alignment horizontal="left"/>
    </xf>
    <xf numFmtId="0" fontId="12" fillId="54" borderId="0" xfId="0" applyNumberFormat="1" applyFont="1" applyFill="1" applyAlignment="1">
      <alignment horizontal="right"/>
    </xf>
    <xf numFmtId="166" fontId="18" fillId="28" borderId="0" xfId="0" applyNumberFormat="1" applyFont="1" applyFill="1" applyAlignment="1">
      <alignment/>
    </xf>
    <xf numFmtId="167" fontId="18" fillId="26" borderId="0" xfId="0" applyNumberFormat="1" applyFont="1" applyFill="1" applyAlignment="1">
      <alignment horizontal="right"/>
    </xf>
    <xf numFmtId="176" fontId="18" fillId="54" borderId="0" xfId="0" applyNumberFormat="1" applyFont="1" applyFill="1" applyAlignment="1">
      <alignment horizontal="right"/>
    </xf>
    <xf numFmtId="2" fontId="18" fillId="54" borderId="0" xfId="0" applyNumberFormat="1" applyFont="1" applyFill="1" applyAlignment="1">
      <alignment/>
    </xf>
    <xf numFmtId="167" fontId="18" fillId="54" borderId="0" xfId="0" applyNumberFormat="1" applyFont="1" applyFill="1" applyAlignment="1">
      <alignment/>
    </xf>
    <xf numFmtId="2" fontId="12" fillId="26" borderId="0" xfId="0" applyNumberFormat="1" applyFont="1" applyFill="1" applyAlignment="1">
      <alignment/>
    </xf>
    <xf numFmtId="165" fontId="18" fillId="54" borderId="0" xfId="0" applyNumberFormat="1" applyFont="1" applyFill="1" applyAlignment="1">
      <alignment/>
    </xf>
    <xf numFmtId="3" fontId="18" fillId="54" borderId="0" xfId="0" applyNumberFormat="1" applyFont="1" applyFill="1" applyAlignment="1">
      <alignment/>
    </xf>
    <xf numFmtId="10" fontId="18" fillId="54" borderId="0" xfId="0" applyNumberFormat="1" applyFont="1" applyFill="1" applyAlignment="1">
      <alignment/>
    </xf>
    <xf numFmtId="174" fontId="18" fillId="54" borderId="0" xfId="0" applyNumberFormat="1" applyFont="1" applyFill="1" applyAlignment="1">
      <alignment horizontal="left"/>
    </xf>
    <xf numFmtId="178" fontId="5" fillId="30" borderId="0" xfId="0" applyNumberFormat="1" applyFont="1" applyFill="1" applyAlignment="1">
      <alignment horizontal="center"/>
    </xf>
    <xf numFmtId="0" fontId="18" fillId="0" borderId="0" xfId="0" applyNumberFormat="1" applyFont="1" applyFill="1" applyAlignment="1">
      <alignment/>
    </xf>
    <xf numFmtId="3" fontId="18" fillId="0" borderId="0" xfId="0" applyNumberFormat="1" applyFont="1" applyFill="1" applyAlignment="1">
      <alignment/>
    </xf>
    <xf numFmtId="176" fontId="12" fillId="39" borderId="0" xfId="0" applyNumberFormat="1" applyFont="1" applyFill="1" applyAlignment="1">
      <alignment horizontal="right"/>
    </xf>
    <xf numFmtId="2" fontId="12" fillId="39" borderId="0" xfId="0" applyNumberFormat="1" applyFont="1" applyFill="1" applyAlignment="1">
      <alignment/>
    </xf>
    <xf numFmtId="0" fontId="11" fillId="39" borderId="0" xfId="0" applyNumberFormat="1" applyFont="1" applyFill="1" applyAlignment="1">
      <alignment vertical="center"/>
    </xf>
    <xf numFmtId="167" fontId="12" fillId="39" borderId="0" xfId="0" applyNumberFormat="1" applyFont="1" applyFill="1" applyAlignment="1">
      <alignment/>
    </xf>
    <xf numFmtId="165" fontId="12" fillId="26" borderId="0" xfId="0" applyNumberFormat="1" applyFont="1" applyFill="1" applyAlignment="1">
      <alignment/>
    </xf>
    <xf numFmtId="0" fontId="12" fillId="0" borderId="0" xfId="0" applyNumberFormat="1" applyFont="1" applyFill="1" applyAlignment="1">
      <alignment/>
    </xf>
    <xf numFmtId="0" fontId="11" fillId="0" borderId="0" xfId="0" applyNumberFormat="1" applyFont="1" applyFill="1" applyAlignment="1">
      <alignment horizontal="right"/>
    </xf>
    <xf numFmtId="0" fontId="24" fillId="0" borderId="0" xfId="0" applyFont="1" applyFill="1" applyAlignment="1">
      <alignment horizontal="left"/>
    </xf>
    <xf numFmtId="0" fontId="0" fillId="28" borderId="0" xfId="0" applyFont="1" applyFill="1" applyAlignment="1">
      <alignment/>
    </xf>
    <xf numFmtId="0" fontId="25" fillId="0" borderId="0" xfId="0" applyFont="1" applyAlignment="1">
      <alignment/>
    </xf>
    <xf numFmtId="0" fontId="26" fillId="0" borderId="0" xfId="0" applyFont="1" applyAlignment="1">
      <alignment/>
    </xf>
    <xf numFmtId="2" fontId="0" fillId="0" borderId="0" xfId="0" applyNumberFormat="1" applyAlignment="1">
      <alignment/>
    </xf>
    <xf numFmtId="9" fontId="0" fillId="28" borderId="0" xfId="0" applyNumberFormat="1" applyFill="1" applyAlignment="1">
      <alignment horizontal="center"/>
    </xf>
    <xf numFmtId="9" fontId="0" fillId="30" borderId="0" xfId="0" applyNumberFormat="1" applyFill="1" applyAlignment="1">
      <alignment horizontal="left"/>
    </xf>
    <xf numFmtId="1" fontId="0" fillId="28" borderId="0" xfId="0" applyNumberFormat="1" applyFill="1" applyAlignment="1">
      <alignment/>
    </xf>
    <xf numFmtId="0" fontId="6" fillId="0" borderId="0" xfId="0" applyFont="1" applyAlignment="1">
      <alignment horizontal="right"/>
    </xf>
    <xf numFmtId="0" fontId="0" fillId="0" borderId="0" xfId="0" applyAlignment="1">
      <alignment horizontal="center"/>
    </xf>
    <xf numFmtId="168" fontId="0" fillId="0" borderId="0" xfId="0" applyNumberFormat="1" applyAlignment="1">
      <alignment horizontal="left"/>
    </xf>
    <xf numFmtId="173" fontId="0" fillId="28" borderId="0" xfId="0" applyNumberFormat="1" applyFill="1" applyAlignment="1">
      <alignment/>
    </xf>
    <xf numFmtId="173" fontId="0" fillId="0" borderId="0" xfId="0" applyNumberFormat="1" applyFill="1" applyAlignment="1">
      <alignment/>
    </xf>
    <xf numFmtId="9" fontId="0" fillId="0" borderId="0" xfId="0" applyNumberFormat="1" applyAlignment="1">
      <alignment/>
    </xf>
    <xf numFmtId="173" fontId="0" fillId="0" borderId="0" xfId="0" applyNumberFormat="1" applyAlignment="1">
      <alignment/>
    </xf>
    <xf numFmtId="0" fontId="27" fillId="0" borderId="0" xfId="0" applyFont="1" applyAlignment="1">
      <alignment horizontal="right"/>
    </xf>
    <xf numFmtId="0" fontId="28" fillId="30" borderId="0" xfId="0" applyFont="1" applyFill="1" applyAlignment="1">
      <alignment horizontal="right"/>
    </xf>
    <xf numFmtId="179" fontId="29" fillId="30" borderId="0" xfId="0" applyNumberFormat="1" applyFont="1" applyFill="1" applyAlignment="1">
      <alignment/>
    </xf>
    <xf numFmtId="0" fontId="4" fillId="0" borderId="0" xfId="0" applyFont="1" applyAlignment="1">
      <alignment horizontal="right"/>
    </xf>
    <xf numFmtId="0" fontId="27" fillId="0" borderId="0" xfId="0" applyFont="1" applyAlignment="1">
      <alignment/>
    </xf>
    <xf numFmtId="9" fontId="0" fillId="28" borderId="0" xfId="0" applyNumberFormat="1" applyFill="1" applyAlignment="1">
      <alignment horizontal="left"/>
    </xf>
    <xf numFmtId="9" fontId="0" fillId="0" borderId="0" xfId="0" applyNumberFormat="1" applyAlignment="1">
      <alignment horizontal="left"/>
    </xf>
    <xf numFmtId="9" fontId="0" fillId="0" borderId="0" xfId="0" applyNumberFormat="1" applyFill="1" applyAlignment="1">
      <alignment horizontal="left"/>
    </xf>
    <xf numFmtId="0" fontId="0" fillId="28" borderId="0" xfId="0" applyFill="1" applyAlignment="1">
      <alignment/>
    </xf>
    <xf numFmtId="9" fontId="0" fillId="55" borderId="0" xfId="0" applyNumberFormat="1" applyFill="1" applyAlignment="1">
      <alignment horizontal="center"/>
    </xf>
    <xf numFmtId="0" fontId="0" fillId="46" borderId="0" xfId="0" applyFill="1" applyAlignment="1">
      <alignment horizontal="center"/>
    </xf>
    <xf numFmtId="0" fontId="0" fillId="46" borderId="0" xfId="0" applyFill="1" applyAlignment="1">
      <alignment/>
    </xf>
    <xf numFmtId="0" fontId="0" fillId="0" borderId="0" xfId="0" applyNumberFormat="1" applyAlignment="1">
      <alignment/>
    </xf>
    <xf numFmtId="180" fontId="0" fillId="0" borderId="0" xfId="0" applyNumberFormat="1" applyAlignment="1">
      <alignment/>
    </xf>
    <xf numFmtId="180" fontId="0" fillId="0" borderId="0" xfId="0" applyNumberFormat="1" applyFont="1" applyAlignment="1">
      <alignment horizontal="right"/>
    </xf>
    <xf numFmtId="0" fontId="30" fillId="0" borderId="0" xfId="0" applyFont="1" applyAlignment="1">
      <alignment/>
    </xf>
    <xf numFmtId="9" fontId="31" fillId="48" borderId="0" xfId="0" applyNumberFormat="1" applyFont="1" applyFill="1" applyAlignment="1">
      <alignment horizontal="center"/>
    </xf>
    <xf numFmtId="9" fontId="0" fillId="46" borderId="0" xfId="0" applyNumberFormat="1" applyFill="1" applyAlignment="1">
      <alignment/>
    </xf>
    <xf numFmtId="0" fontId="0" fillId="26" borderId="0" xfId="0" applyFont="1" applyFill="1" applyAlignment="1">
      <alignment/>
    </xf>
    <xf numFmtId="0" fontId="0" fillId="26" borderId="0" xfId="0" applyFont="1" applyFill="1" applyAlignment="1">
      <alignment horizontal="center"/>
    </xf>
    <xf numFmtId="0" fontId="0" fillId="29" borderId="0" xfId="0" applyFont="1" applyFill="1" applyAlignment="1">
      <alignment horizontal="center"/>
    </xf>
    <xf numFmtId="0" fontId="0" fillId="30" borderId="0" xfId="0" applyFont="1" applyFill="1" applyAlignment="1">
      <alignment horizontal="center"/>
    </xf>
    <xf numFmtId="9" fontId="0" fillId="0" borderId="0" xfId="0" applyNumberFormat="1" applyFill="1" applyAlignment="1">
      <alignment/>
    </xf>
    <xf numFmtId="0" fontId="0" fillId="30" borderId="0" xfId="0" applyFont="1" applyFill="1" applyAlignment="1">
      <alignment/>
    </xf>
    <xf numFmtId="167" fontId="0" fillId="0" borderId="0" xfId="0" applyNumberFormat="1" applyFont="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ckground Green" xfId="39"/>
    <cellStyle name="Background Orange" xfId="40"/>
    <cellStyle name="Background Purple" xfId="41"/>
    <cellStyle name="Background Red" xfId="42"/>
    <cellStyle name="Background Yellow" xfId="43"/>
    <cellStyle name="Bad" xfId="44"/>
    <cellStyle name="Calculation" xfId="45"/>
    <cellStyle name="Check Cell" xfId="46"/>
    <cellStyle name="Comma" xfId="47"/>
    <cellStyle name="Comma [0]" xfId="48"/>
    <cellStyle name="Currency" xfId="49"/>
    <cellStyle name="Currency [0]" xfId="50"/>
    <cellStyle name="Explanatory Text" xfId="51"/>
    <cellStyle name="Good" xfId="52"/>
    <cellStyle name="Heading 1" xfId="53"/>
    <cellStyle name="Heading 2" xfId="54"/>
    <cellStyle name="Heading 3" xfId="55"/>
    <cellStyle name="Heading 4" xfId="56"/>
    <cellStyle name="Input" xfId="57"/>
    <cellStyle name="Linked Cell" xfId="58"/>
    <cellStyle name="Neutral" xfId="59"/>
    <cellStyle name="Note" xfId="60"/>
    <cellStyle name="Output" xfId="61"/>
    <cellStyle name="Percent" xfId="62"/>
    <cellStyle name="Title" xfId="63"/>
    <cellStyle name="Total" xfId="64"/>
    <cellStyle name="Warning Text" xfId="65"/>
  </cellStyles>
  <dxfs count="37">
    <dxf>
      <font>
        <b val="0"/>
        <i val="0"/>
        <u val="none"/>
        <strike val="0"/>
        <sz val="10"/>
        <color indexed="8"/>
      </font>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ont>
        <b val="0"/>
        <color indexed="8"/>
      </font>
      <fill>
        <patternFill patternType="solid">
          <fgColor indexed="17"/>
          <bgColor indexed="11"/>
        </patternFill>
      </fill>
    </dxf>
    <dxf>
      <font>
        <b val="0"/>
        <color indexed="8"/>
      </font>
      <fill>
        <patternFill patternType="solid">
          <fgColor indexed="60"/>
          <bgColor indexed="10"/>
        </patternFill>
      </fill>
    </dxf>
    <dxf>
      <font>
        <b val="0"/>
        <color indexed="8"/>
      </font>
      <fill>
        <patternFill patternType="solid">
          <fgColor indexed="17"/>
          <bgColor indexed="11"/>
        </patternFill>
      </fill>
    </dxf>
    <dxf>
      <font>
        <b val="0"/>
        <color indexed="8"/>
      </font>
      <fill>
        <patternFill patternType="solid">
          <fgColor indexed="60"/>
          <bgColor indexed="10"/>
        </patternFill>
      </fill>
    </dxf>
    <dxf>
      <font>
        <b val="0"/>
        <i val="0"/>
        <u val="none"/>
        <strike val="0"/>
        <sz val="10"/>
        <color indexed="8"/>
      </font>
      <fill>
        <patternFill patternType="solid">
          <fgColor indexed="34"/>
          <bgColor indexed="13"/>
        </patternFill>
      </fill>
    </dxf>
    <dxf/>
    <dxf>
      <fill>
        <patternFill patternType="solid">
          <fgColor indexed="17"/>
          <bgColor indexed="11"/>
        </patternFill>
      </fill>
    </dxf>
    <dxf>
      <fill>
        <patternFill patternType="solid">
          <fgColor indexed="60"/>
          <bgColor indexed="10"/>
        </patternFill>
      </fill>
    </dxf>
    <dxf>
      <fill>
        <patternFill patternType="solid">
          <fgColor indexed="60"/>
          <bgColor indexed="10"/>
        </patternFill>
      </fill>
    </dxf>
    <dxf>
      <fill>
        <patternFill patternType="solid">
          <fgColor indexed="17"/>
          <bgColor indexed="11"/>
        </patternFill>
      </fill>
    </dxf>
    <dxf>
      <font>
        <b val="0"/>
        <color indexed="8"/>
      </font>
      <fill>
        <patternFill patternType="solid">
          <fgColor indexed="60"/>
          <bgColor indexed="10"/>
        </patternFill>
      </fill>
    </dxf>
    <dxf>
      <font>
        <b val="0"/>
        <color indexed="8"/>
      </font>
      <fill>
        <patternFill patternType="solid">
          <fgColor indexed="17"/>
          <bgColor indexed="11"/>
        </patternFill>
      </fill>
    </dxf>
    <dxf>
      <font>
        <b val="0"/>
        <color indexed="8"/>
      </font>
      <fill>
        <patternFill patternType="solid">
          <fgColor indexed="60"/>
          <bgColor indexed="10"/>
        </patternFill>
      </fill>
    </dxf>
    <dxf>
      <font>
        <b val="0"/>
        <color indexed="8"/>
      </font>
      <fill>
        <patternFill patternType="solid">
          <fgColor indexed="17"/>
          <bgColor indexed="11"/>
        </patternFill>
      </fill>
    </dxf>
    <dxf>
      <font>
        <b val="0"/>
        <i val="0"/>
        <u val="none"/>
        <strike val="0"/>
        <sz val="10"/>
        <color indexed="8"/>
      </font>
      <fill>
        <patternFill patternType="solid">
          <fgColor indexed="41"/>
          <bgColor indexed="9"/>
        </patternFill>
      </fill>
    </dxf>
    <dxf>
      <font>
        <b val="0"/>
        <color indexed="8"/>
      </font>
      <fill>
        <patternFill patternType="solid">
          <fgColor indexed="60"/>
          <bgColor indexed="10"/>
        </patternFill>
      </fill>
    </dxf>
    <dxf>
      <font>
        <b val="0"/>
        <color indexed="8"/>
      </font>
      <fill>
        <patternFill patternType="solid">
          <fgColor indexed="17"/>
          <bgColor indexed="11"/>
        </patternFill>
      </fill>
    </dxf>
    <dxf>
      <fill>
        <patternFill patternType="solid">
          <fgColor indexed="17"/>
          <bgColor indexed="11"/>
        </patternFill>
      </fill>
    </dxf>
    <dxf>
      <fill>
        <patternFill patternType="solid">
          <fgColor indexed="34"/>
          <bgColor indexed="13"/>
        </patternFill>
      </fill>
    </dxf>
    <dxf>
      <fill>
        <patternFill patternType="solid">
          <fgColor indexed="17"/>
          <bgColor indexed="11"/>
        </patternFill>
      </fill>
    </dxf>
    <dxf>
      <fill>
        <patternFill patternType="solid">
          <fgColor indexed="60"/>
          <bgColor indexed="10"/>
        </patternFill>
      </fill>
    </dxf>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E6E6FF"/>
      <rgbColor rgb="00FF0000"/>
      <rgbColor rgb="0000FF00"/>
      <rgbColor rgb="000000FF"/>
      <rgbColor rgb="00FFFF00"/>
      <rgbColor rgb="00FF00FF"/>
      <rgbColor rgb="0000FFFF"/>
      <rgbColor rgb="00800000"/>
      <rgbColor rgb="0000AE00"/>
      <rgbColor rgb="00000080"/>
      <rgbColor rgb="00808000"/>
      <rgbColor rgb="00800080"/>
      <rgbColor rgb="000099FF"/>
      <rgbColor rgb="00CCCCCC"/>
      <rgbColor rgb="00808080"/>
      <rgbColor rgb="009999FF"/>
      <rgbColor rgb="00EB613D"/>
      <rgbColor rgb="00FFFFCC"/>
      <rgbColor rgb="00CCFFFF"/>
      <rgbColor rgb="00660066"/>
      <rgbColor rgb="00FF8080"/>
      <rgbColor rgb="000084D1"/>
      <rgbColor rgb="00B3B3B3"/>
      <rgbColor rgb="00000080"/>
      <rgbColor rgb="00FF00FF"/>
      <rgbColor rgb="00FFFF66"/>
      <rgbColor rgb="0000FFFF"/>
      <rgbColor rgb="00800080"/>
      <rgbColor rgb="00800000"/>
      <rgbColor rgb="00008080"/>
      <rgbColor rgb="000000FF"/>
      <rgbColor rgb="0000B8FF"/>
      <rgbColor rgb="00E6E6E6"/>
      <rgbColor rgb="00E6E64C"/>
      <rgbColor rgb="00FFFF99"/>
      <rgbColor rgb="0099CCFF"/>
      <rgbColor rgb="00FF99CC"/>
      <rgbColor rgb="00CC99FF"/>
      <rgbColor rgb="00FFCC99"/>
      <rgbColor rgb="003366FF"/>
      <rgbColor rgb="0033CCCC"/>
      <rgbColor rgb="0094BD5E"/>
      <rgbColor rgb="00FFD320"/>
      <rgbColor rgb="00FF950E"/>
      <rgbColor rgb="00FF6633"/>
      <rgbColor rgb="00666699"/>
      <rgbColor rgb="00999999"/>
      <rgbColor rgb="00004586"/>
      <rgbColor rgb="00339966"/>
      <rgbColor rgb="00003300"/>
      <rgbColor rgb="00333300"/>
      <rgbColor rgb="00FF420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5"/>
          <c:y val="0.0405"/>
          <c:w val="0.82625"/>
          <c:h val="0.929"/>
        </c:manualLayout>
      </c:layout>
      <c:pieChart>
        <c:varyColors val="1"/>
        <c:ser>
          <c:idx val="0"/>
          <c:order val="0"/>
          <c:spPr>
            <a:solidFill>
              <a:srgbClr val="004586"/>
            </a:solidFill>
            <a:ln w="3175">
              <a:noFill/>
            </a:ln>
          </c:spPr>
          <c:explosion val="0"/>
          <c:extLst>
            <c:ext xmlns:c14="http://schemas.microsoft.com/office/drawing/2007/8/2/chart" uri="{6F2FDCE9-48DA-4B69-8628-5D25D57E5C99}">
              <c14:invertSolidFillFmt>
                <c14:spPr>
                  <a:solidFill>
                    <a:srgbClr val="E6E6E6"/>
                  </a:solidFill>
                </c14:spPr>
              </c14:invertSolidFillFmt>
            </c:ext>
          </c:extLst>
          <c:dPt>
            <c:idx val="0"/>
            <c:spPr>
              <a:solidFill>
                <a:srgbClr val="004586"/>
              </a:solidFill>
              <a:ln w="3175">
                <a:noFill/>
              </a:ln>
            </c:spPr>
          </c:dPt>
          <c:dPt>
            <c:idx val="1"/>
            <c:spPr>
              <a:solidFill>
                <a:srgbClr val="FF420E"/>
              </a:solidFill>
              <a:ln w="3175">
                <a:noFill/>
              </a:ln>
            </c:spPr>
          </c:dPt>
          <c:dPt>
            <c:idx val="2"/>
            <c:spPr>
              <a:solidFill>
                <a:srgbClr val="FFD320"/>
              </a:solidFill>
              <a:ln w="3175">
                <a:noFill/>
              </a:ln>
            </c:spPr>
          </c:dPt>
          <c:cat>
            <c:strRef>
              <c:f>'Money Wheel'!$A$22:$A$24</c:f>
              <c:strCache>
                <c:ptCount val="3"/>
                <c:pt idx="0">
                  <c:v>$87k  Invested</c:v>
                </c:pt>
                <c:pt idx="1">
                  <c:v>$22k   Cash to buy</c:v>
                </c:pt>
                <c:pt idx="2">
                  <c:v>$91k  Cash Target</c:v>
                </c:pt>
              </c:strCache>
            </c:strRef>
          </c:cat>
          <c:val>
            <c:numRef>
              <c:f>'Money Wheel'!$B$22:$B$24</c:f>
              <c:numCache>
                <c:ptCount val="3"/>
                <c:pt idx="0">
                  <c:v>87.434</c:v>
                </c:pt>
                <c:pt idx="1">
                  <c:v>22.472855629139076</c:v>
                </c:pt>
                <c:pt idx="2">
                  <c:v>90.52714437086092</c:v>
                </c:pt>
              </c:numCache>
            </c:numRef>
          </c:val>
        </c:ser>
      </c:pieChart>
      <c:spPr>
        <a:noFill/>
        <a:ln w="3175">
          <a:solidFill>
            <a:srgbClr val="B3B3B3"/>
          </a:solid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25"/>
          <c:y val="0.0175"/>
          <c:w val="0.47625"/>
          <c:h val="0.96925"/>
        </c:manualLayout>
      </c:layout>
      <c:pieChart>
        <c:varyColors val="1"/>
        <c:ser>
          <c:idx val="0"/>
          <c:order val="0"/>
          <c:spPr>
            <a:solidFill>
              <a:srgbClr val="004586"/>
            </a:solidFill>
            <a:ln w="3175">
              <a:noFill/>
            </a:ln>
          </c:spPr>
          <c:explosion val="0"/>
          <c:extLst>
            <c:ext xmlns:c14="http://schemas.microsoft.com/office/drawing/2007/8/2/chart" uri="{6F2FDCE9-48DA-4B69-8628-5D25D57E5C99}">
              <c14:invertSolidFillFmt>
                <c14:spPr>
                  <a:solidFill>
                    <a:srgbClr val="E6E6E6"/>
                  </a:solidFill>
                </c14:spPr>
              </c14:invertSolidFillFmt>
            </c:ext>
          </c:extLst>
          <c:dPt>
            <c:idx val="0"/>
            <c:spPr>
              <a:solidFill>
                <a:srgbClr val="004586"/>
              </a:solidFill>
              <a:ln w="3175">
                <a:noFill/>
              </a:ln>
            </c:spPr>
          </c:dPt>
          <c:dPt>
            <c:idx val="1"/>
            <c:spPr>
              <a:solidFill>
                <a:srgbClr val="FF420E"/>
              </a:solidFill>
              <a:ln w="3175">
                <a:noFill/>
              </a:ln>
            </c:spPr>
          </c:dPt>
          <c:dPt>
            <c:idx val="2"/>
            <c:spPr>
              <a:solidFill>
                <a:srgbClr val="FFD320"/>
              </a:solidFill>
              <a:ln w="3175">
                <a:noFill/>
              </a:ln>
            </c:spPr>
          </c:dPt>
          <c:cat>
            <c:strRef>
              <c:f>'Money Wheel'!$A$22:$A$24</c:f>
              <c:strCache/>
            </c:strRef>
          </c:cat>
          <c:val>
            <c:numRef>
              <c:f>'Money Wheel'!$B$22:$B$24</c:f>
              <c:numCache/>
            </c:numRef>
          </c:val>
        </c:ser>
      </c:pieChart>
      <c:spPr>
        <a:noFill/>
        <a:ln w="3175">
          <a:solidFill>
            <a:srgbClr val="B3B3B3"/>
          </a:solidFill>
        </a:ln>
      </c:spPr>
    </c:plotArea>
    <c:legend>
      <c:legendPos val="r"/>
      <c:layout>
        <c:manualLayout>
          <c:xMode val="edge"/>
          <c:yMode val="edge"/>
          <c:x val="0.50225"/>
          <c:y val="0.17225"/>
          <c:w val="0.49325"/>
          <c:h val="0.646"/>
        </c:manualLayout>
      </c:layout>
      <c:overlay val="0"/>
      <c:spPr>
        <a:noFill/>
        <a:ln w="3175">
          <a:noFill/>
        </a:ln>
      </c:spPr>
      <c:txPr>
        <a:bodyPr vert="horz" rot="0"/>
        <a:lstStyle/>
        <a:p>
          <a:pPr>
            <a:defRPr lang="en-US" cap="none" sz="147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sng" baseline="0">
                <a:solidFill>
                  <a:srgbClr val="000000"/>
                </a:solidFill>
                <a:latin typeface="Arial"/>
                <a:ea typeface="Arial"/>
                <a:cs typeface="Arial"/>
              </a:rPr>
              <a:t>Recommended Allocation by Seasons</a:t>
            </a:r>
          </a:p>
        </c:rich>
      </c:tx>
      <c:layout>
        <c:manualLayout>
          <c:xMode val="factor"/>
          <c:yMode val="factor"/>
          <c:x val="0.0015"/>
          <c:y val="0"/>
        </c:manualLayout>
      </c:layout>
      <c:spPr>
        <a:noFill/>
        <a:ln>
          <a:noFill/>
        </a:ln>
      </c:spPr>
    </c:title>
    <c:plotArea>
      <c:layout>
        <c:manualLayout>
          <c:xMode val="edge"/>
          <c:yMode val="edge"/>
          <c:x val="0.012"/>
          <c:y val="0.1405"/>
          <c:w val="0.976"/>
          <c:h val="0.826"/>
        </c:manualLayout>
      </c:layout>
      <c:barChart>
        <c:barDir val="col"/>
        <c:grouping val="clustered"/>
        <c:varyColors val="0"/>
        <c:ser>
          <c:idx val="0"/>
          <c:order val="0"/>
          <c:tx>
            <c:strRef>
              <c:f>'Seasonal Allocation'!$C$8:$C$8</c:f>
              <c:strCache>
                <c:ptCount val="1"/>
                <c:pt idx="0">
                  <c:v>100%</c:v>
                </c:pt>
              </c:strCache>
            </c:strRef>
          </c:tx>
          <c:spPr>
            <a:solidFill>
              <a:srgbClr val="004586"/>
            </a:solidFill>
            <a:ln w="3175">
              <a:noFill/>
            </a:ln>
          </c:spPr>
          <c:invertIfNegative val="0"/>
          <c:extLst>
            <c:ext xmlns:c14="http://schemas.microsoft.com/office/drawing/2007/8/2/chart" uri="{6F2FDCE9-48DA-4B69-8628-5D25D57E5C99}">
              <c14:invertSolidFillFmt>
                <c14:spPr>
                  <a:solidFill>
                    <a:srgbClr val="E6E6E6"/>
                  </a:solidFill>
                </c14:spPr>
              </c14:invertSolidFillFmt>
            </c:ext>
          </c:extLst>
          <c:cat>
            <c:numRef>
              <c:f>'Seasonal Allocation'!$A$9:$A$31</c:f>
              <c:numCache/>
            </c:numRef>
          </c:cat>
          <c:val>
            <c:numRef>
              <c:f>'Seasonal Allocation'!$C$9:$C$31</c:f>
              <c:numCache/>
            </c:numRef>
          </c:val>
        </c:ser>
        <c:gapWidth val="100"/>
        <c:axId val="22501539"/>
        <c:axId val="1187260"/>
      </c:barChart>
      <c:catAx>
        <c:axId val="22501539"/>
        <c:scaling>
          <c:orientation val="minMax"/>
        </c:scaling>
        <c:axPos val="b"/>
        <c:delete val="0"/>
        <c:numFmt formatCode="General" sourceLinked="1"/>
        <c:majorTickMark val="out"/>
        <c:minorTickMark val="none"/>
        <c:tickLblPos val="nextTo"/>
        <c:spPr>
          <a:ln w="3175">
            <a:solidFill>
              <a:srgbClr val="B3B3B3"/>
            </a:solidFill>
          </a:ln>
        </c:spPr>
        <c:crossAx val="1187260"/>
        <c:crossesAt val="0"/>
        <c:auto val="1"/>
        <c:lblOffset val="100"/>
        <c:tickLblSkip val="1"/>
        <c:noMultiLvlLbl val="0"/>
      </c:catAx>
      <c:valAx>
        <c:axId val="1187260"/>
        <c:scaling>
          <c:orientation val="minMax"/>
        </c:scaling>
        <c:axPos val="l"/>
        <c:majorGridlines>
          <c:spPr>
            <a:ln w="3175">
              <a:solidFill>
                <a:srgbClr val="B3B3B3"/>
              </a:solidFill>
            </a:ln>
          </c:spPr>
        </c:majorGridlines>
        <c:delete val="0"/>
        <c:numFmt formatCode="General" sourceLinked="0"/>
        <c:majorTickMark val="out"/>
        <c:minorTickMark val="none"/>
        <c:tickLblPos val="nextTo"/>
        <c:spPr>
          <a:ln w="3175">
            <a:solidFill>
              <a:srgbClr val="B3B3B3"/>
            </a:solidFill>
          </a:ln>
        </c:spPr>
        <c:crossAx val="22501539"/>
        <c:crossesAt val="1"/>
        <c:crossBetween val="between"/>
        <c:dispUnits/>
      </c:valAx>
      <c:spPr>
        <a:noFill/>
        <a:ln w="3175">
          <a:solidFill>
            <a:srgbClr val="B3B3B3"/>
          </a:solidFill>
        </a:ln>
      </c:spPr>
    </c:plotArea>
    <c:plotVisOnly val="1"/>
    <c:dispBlanksAs val="gap"/>
    <c:showDLblsOverMax val="0"/>
  </c:chart>
  <c:spPr>
    <a:solidFill>
      <a:srgbClr val="E6E6E6"/>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0.1065</cdr:x>
      <cdr:y>0.9815</cdr:y>
    </cdr:from>
    <cdr:to>
      <cdr:x>0.10725</cdr:x>
      <cdr:y>0.98175</cdr:y>
    </cdr:to>
    <cdr:sp fLocksText="0">
      <cdr:nvSpPr>
        <cdr:cNvPr id="1" name="Text Box 1"/>
        <cdr:cNvSpPr txBox="1">
          <a:spLocks noChangeArrowheads="1"/>
        </cdr:cNvSpPr>
      </cdr:nvSpPr>
      <cdr:spPr>
        <a:xfrm>
          <a:off x="114300" y="1162050"/>
          <a:ext cx="0" cy="0"/>
        </a:xfrm>
        <a:prstGeom prst="rect">
          <a:avLst/>
        </a:prstGeom>
        <a:solidFill>
          <a:srgbClr val="E6E6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0.1065</cdr:x>
      <cdr:y>0.9815</cdr:y>
    </cdr:from>
    <cdr:to>
      <cdr:x>0.10725</cdr:x>
      <cdr:y>0.98175</cdr:y>
    </cdr:to>
    <cdr:sp fLocksText="0">
      <cdr:nvSpPr>
        <cdr:cNvPr id="2" name="Text Box 2"/>
        <cdr:cNvSpPr txBox="1">
          <a:spLocks noChangeArrowheads="1"/>
        </cdr:cNvSpPr>
      </cdr:nvSpPr>
      <cdr:spPr>
        <a:xfrm>
          <a:off x="114300" y="1162050"/>
          <a:ext cx="0" cy="0"/>
        </a:xfrm>
        <a:prstGeom prst="rect">
          <a:avLst/>
        </a:prstGeom>
        <a:solidFill>
          <a:srgbClr val="E6E6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0.1065</cdr:x>
      <cdr:y>0.9815</cdr:y>
    </cdr:from>
    <cdr:to>
      <cdr:x>0.10725</cdr:x>
      <cdr:y>0.98175</cdr:y>
    </cdr:to>
    <cdr:sp fLocksText="0">
      <cdr:nvSpPr>
        <cdr:cNvPr id="3" name="Text Box 3"/>
        <cdr:cNvSpPr txBox="1">
          <a:spLocks noChangeArrowheads="1"/>
        </cdr:cNvSpPr>
      </cdr:nvSpPr>
      <cdr:spPr>
        <a:xfrm>
          <a:off x="114300" y="1162050"/>
          <a:ext cx="0" cy="0"/>
        </a:xfrm>
        <a:prstGeom prst="rect">
          <a:avLst/>
        </a:prstGeom>
        <a:solidFill>
          <a:srgbClr val="E6E6FF"/>
        </a:solidFill>
        <a:ln w="1"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152400</xdr:colOff>
      <xdr:row>0</xdr:row>
      <xdr:rowOff>85725</xdr:rowOff>
    </xdr:from>
    <xdr:to>
      <xdr:col>14</xdr:col>
      <xdr:colOff>552450</xdr:colOff>
      <xdr:row>7</xdr:row>
      <xdr:rowOff>38100</xdr:rowOff>
    </xdr:to>
    <xdr:graphicFrame>
      <xdr:nvGraphicFramePr>
        <xdr:cNvPr id="1" name="Chart 103"/>
        <xdr:cNvGraphicFramePr/>
      </xdr:nvGraphicFramePr>
      <xdr:xfrm>
        <a:off x="10058400" y="85725"/>
        <a:ext cx="1162050" cy="11906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0.04725</cdr:x>
      <cdr:y>0.9905</cdr:y>
    </cdr:from>
    <cdr:to>
      <cdr:x>0.0475</cdr:x>
      <cdr:y>0.99075</cdr:y>
    </cdr:to>
    <cdr:sp fLocksText="0">
      <cdr:nvSpPr>
        <cdr:cNvPr id="1" name="Text Box 1"/>
        <cdr:cNvSpPr txBox="1">
          <a:spLocks noChangeArrowheads="1"/>
        </cdr:cNvSpPr>
      </cdr:nvSpPr>
      <cdr:spPr>
        <a:xfrm>
          <a:off x="266700" y="3267075"/>
          <a:ext cx="0" cy="0"/>
        </a:xfrm>
        <a:prstGeom prst="rect">
          <a:avLst/>
        </a:prstGeom>
        <a:solidFill>
          <a:srgbClr val="E6E6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0.04725</cdr:x>
      <cdr:y>0.9905</cdr:y>
    </cdr:from>
    <cdr:to>
      <cdr:x>0.0475</cdr:x>
      <cdr:y>0.99075</cdr:y>
    </cdr:to>
    <cdr:sp fLocksText="0">
      <cdr:nvSpPr>
        <cdr:cNvPr id="2" name="Text Box 2"/>
        <cdr:cNvSpPr txBox="1">
          <a:spLocks noChangeArrowheads="1"/>
        </cdr:cNvSpPr>
      </cdr:nvSpPr>
      <cdr:spPr>
        <a:xfrm>
          <a:off x="266700" y="3267075"/>
          <a:ext cx="0" cy="0"/>
        </a:xfrm>
        <a:prstGeom prst="rect">
          <a:avLst/>
        </a:prstGeom>
        <a:solidFill>
          <a:srgbClr val="E6E6FF"/>
        </a:solid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0.04725</cdr:x>
      <cdr:y>0.9905</cdr:y>
    </cdr:from>
    <cdr:to>
      <cdr:x>0.0475</cdr:x>
      <cdr:y>0.99075</cdr:y>
    </cdr:to>
    <cdr:sp fLocksText="0">
      <cdr:nvSpPr>
        <cdr:cNvPr id="3" name="Text Box 3"/>
        <cdr:cNvSpPr txBox="1">
          <a:spLocks noChangeArrowheads="1"/>
        </cdr:cNvSpPr>
      </cdr:nvSpPr>
      <cdr:spPr>
        <a:xfrm>
          <a:off x="266700" y="3267075"/>
          <a:ext cx="0" cy="0"/>
        </a:xfrm>
        <a:prstGeom prst="rect">
          <a:avLst/>
        </a:prstGeom>
        <a:solidFill>
          <a:srgbClr val="E6E6FF"/>
        </a:solidFill>
        <a:ln w="1"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11</xdr:row>
      <xdr:rowOff>28575</xdr:rowOff>
    </xdr:from>
    <xdr:to>
      <xdr:col>9</xdr:col>
      <xdr:colOff>552450</xdr:colOff>
      <xdr:row>31</xdr:row>
      <xdr:rowOff>85725</xdr:rowOff>
    </xdr:to>
    <xdr:graphicFrame>
      <xdr:nvGraphicFramePr>
        <xdr:cNvPr id="1" name="Chart 1"/>
        <xdr:cNvGraphicFramePr/>
      </xdr:nvGraphicFramePr>
      <xdr:xfrm>
        <a:off x="2524125" y="2371725"/>
        <a:ext cx="5705475" cy="3305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6</xdr:row>
      <xdr:rowOff>152400</xdr:rowOff>
    </xdr:from>
    <xdr:to>
      <xdr:col>13</xdr:col>
      <xdr:colOff>0</xdr:colOff>
      <xdr:row>31</xdr:row>
      <xdr:rowOff>76200</xdr:rowOff>
    </xdr:to>
    <xdr:graphicFrame>
      <xdr:nvGraphicFramePr>
        <xdr:cNvPr id="1" name="Chart 1"/>
        <xdr:cNvGraphicFramePr/>
      </xdr:nvGraphicFramePr>
      <xdr:xfrm>
        <a:off x="2305050" y="1162050"/>
        <a:ext cx="7458075" cy="37338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iz.yahoo.com/research/earncal/today.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2:O54"/>
  <sheetViews>
    <sheetView tabSelected="1" zoomScale="125" zoomScaleNormal="125" workbookViewId="0" topLeftCell="A1">
      <selection activeCell="F45" sqref="F45"/>
    </sheetView>
  </sheetViews>
  <sheetFormatPr defaultColWidth="11.57421875" defaultRowHeight="12.75"/>
  <cols>
    <col min="1" max="16384" width="11.421875" style="0" customWidth="1"/>
  </cols>
  <sheetData>
    <row r="2" ht="21">
      <c r="C2" s="1" t="s">
        <v>0</v>
      </c>
    </row>
    <row r="3" ht="12">
      <c r="M3" s="2" t="s">
        <v>1</v>
      </c>
    </row>
    <row r="4" spans="3:13" ht="12.75">
      <c r="C4" s="3" t="s">
        <v>2</v>
      </c>
      <c r="H4" s="4" t="s">
        <v>3</v>
      </c>
      <c r="I4" s="5" t="s">
        <v>4</v>
      </c>
      <c r="M4" s="6" t="str">
        <f>'Money Wheel'!A23</f>
        <v>$22k   Cash to buy</v>
      </c>
    </row>
    <row r="5" ht="13.5">
      <c r="C5" s="3"/>
    </row>
    <row r="6" spans="3:11" ht="12.75">
      <c r="C6" s="7" t="s">
        <v>5</v>
      </c>
      <c r="D6" s="7"/>
      <c r="E6" s="7"/>
      <c r="F6" s="7"/>
      <c r="G6" s="7"/>
      <c r="H6" s="7"/>
      <c r="I6" s="7"/>
      <c r="J6" s="7"/>
      <c r="K6" s="8"/>
    </row>
    <row r="9" spans="1:15" ht="12.75">
      <c r="A9" s="9" t="s">
        <v>6</v>
      </c>
      <c r="B9" s="10" t="s">
        <v>7</v>
      </c>
      <c r="C9" s="10" t="s">
        <v>8</v>
      </c>
      <c r="D9" s="10" t="s">
        <v>9</v>
      </c>
      <c r="E9" s="11" t="s">
        <v>10</v>
      </c>
      <c r="F9" s="12" t="s">
        <v>11</v>
      </c>
      <c r="G9" s="13" t="s">
        <v>12</v>
      </c>
      <c r="H9" s="14" t="s">
        <v>13</v>
      </c>
      <c r="I9" s="14" t="s">
        <v>14</v>
      </c>
      <c r="J9" t="s">
        <v>15</v>
      </c>
      <c r="K9" s="13" t="s">
        <v>16</v>
      </c>
      <c r="L9" s="15" t="s">
        <v>17</v>
      </c>
      <c r="M9" s="16" t="s">
        <v>18</v>
      </c>
      <c r="N9" s="17" t="s">
        <v>19</v>
      </c>
      <c r="O9" s="15" t="s">
        <v>20</v>
      </c>
    </row>
    <row r="10" spans="1:15" ht="15">
      <c r="A10" s="18" t="s">
        <v>21</v>
      </c>
      <c r="B10" s="19">
        <v>30</v>
      </c>
      <c r="C10" s="20">
        <f aca="true" t="shared" si="0" ref="C10:C41">B10*E10</f>
        <v>12405</v>
      </c>
      <c r="D10" s="21">
        <f aca="true" t="shared" si="1" ref="D10:D44">C10/$C$45</f>
        <v>0.06189069718710399</v>
      </c>
      <c r="E10" s="22">
        <f>VALUE(Symbols!E31)</f>
        <v>413.5</v>
      </c>
      <c r="F10" s="23">
        <f>E10/N10</f>
        <v>10.366006517924292</v>
      </c>
      <c r="G10" s="24">
        <v>10.64</v>
      </c>
      <c r="H10" s="25" t="s">
        <v>579</v>
      </c>
      <c r="I10" s="26">
        <f aca="true" t="shared" si="2" ref="I10:I41">ABS(VALUE(H10))-C10/($J$45*1000)*$L$45</f>
        <v>4.1595</v>
      </c>
      <c r="J10" s="27">
        <v>41396</v>
      </c>
      <c r="K10" s="28">
        <v>0.0274</v>
      </c>
      <c r="L10" s="29">
        <v>41403</v>
      </c>
      <c r="M10" s="29">
        <v>41477</v>
      </c>
      <c r="N10" s="30">
        <v>39.89</v>
      </c>
      <c r="O10" s="31">
        <v>-0.2343</v>
      </c>
    </row>
    <row r="11" spans="1:15" ht="15">
      <c r="A11" s="32" t="s">
        <v>22</v>
      </c>
      <c r="B11" s="33">
        <f>1000-1000</f>
        <v>0</v>
      </c>
      <c r="C11" s="34">
        <f t="shared" si="0"/>
        <v>0</v>
      </c>
      <c r="D11" s="35">
        <f t="shared" si="1"/>
        <v>0</v>
      </c>
      <c r="E11" s="36">
        <f>VALUE(Symbols!E16)</f>
        <v>24.195</v>
      </c>
      <c r="F11" s="37">
        <f>E11/N11</f>
        <v>13.078378378378378</v>
      </c>
      <c r="G11" s="38">
        <v>12.06</v>
      </c>
      <c r="H11" s="39" t="s">
        <v>580</v>
      </c>
      <c r="I11" s="40">
        <f t="shared" si="2"/>
        <v>7.5</v>
      </c>
      <c r="J11" s="41">
        <v>41396</v>
      </c>
      <c r="K11" s="42">
        <v>0.0373</v>
      </c>
      <c r="L11" s="43">
        <v>41397</v>
      </c>
      <c r="M11" s="43">
        <v>41470</v>
      </c>
      <c r="N11" s="44">
        <v>1.85</v>
      </c>
      <c r="O11" s="45">
        <v>-0.1558</v>
      </c>
    </row>
    <row r="12" spans="1:15" ht="15">
      <c r="A12" s="46" t="s">
        <v>23</v>
      </c>
      <c r="B12" s="47">
        <v>0</v>
      </c>
      <c r="C12" s="48">
        <f t="shared" si="0"/>
        <v>0</v>
      </c>
      <c r="D12" s="49">
        <f t="shared" si="1"/>
        <v>0</v>
      </c>
      <c r="E12" s="50">
        <f>VALUE(Symbols!E15)</f>
        <v>195.46</v>
      </c>
      <c r="F12" s="37">
        <f>E12/N12</f>
        <v>12.378720709309691</v>
      </c>
      <c r="G12" s="38">
        <v>13.96</v>
      </c>
      <c r="H12" s="39" t="s">
        <v>581</v>
      </c>
      <c r="I12" s="40">
        <f t="shared" si="2"/>
        <v>8.3</v>
      </c>
      <c r="J12" s="41">
        <v>41396</v>
      </c>
      <c r="K12" s="42">
        <v>0.0188</v>
      </c>
      <c r="L12" s="43">
        <v>41402</v>
      </c>
      <c r="M12" s="43">
        <v>41472</v>
      </c>
      <c r="N12" s="44">
        <v>15.79</v>
      </c>
      <c r="O12" s="45">
        <v>-0.0234</v>
      </c>
    </row>
    <row r="13" spans="1:15" ht="15">
      <c r="A13" s="51" t="s">
        <v>24</v>
      </c>
      <c r="B13" s="52">
        <v>0</v>
      </c>
      <c r="C13" s="53">
        <f t="shared" si="0"/>
        <v>0</v>
      </c>
      <c r="D13" s="54">
        <f t="shared" si="1"/>
        <v>0</v>
      </c>
      <c r="E13" s="55">
        <f>VALUE(Symbols!E34)</f>
        <v>97.23</v>
      </c>
      <c r="F13" s="37">
        <f>E13/N13</f>
        <v>17.742700729927005</v>
      </c>
      <c r="G13" s="38">
        <v>18.94</v>
      </c>
      <c r="H13" s="39" t="s">
        <v>582</v>
      </c>
      <c r="I13" s="40">
        <f t="shared" si="2"/>
        <v>6.9</v>
      </c>
      <c r="J13" s="41">
        <v>41396</v>
      </c>
      <c r="K13" s="42">
        <v>0.0302</v>
      </c>
      <c r="L13" s="43">
        <v>41332</v>
      </c>
      <c r="M13" s="43">
        <v>41477</v>
      </c>
      <c r="N13" s="44">
        <v>5.48</v>
      </c>
      <c r="O13" s="45">
        <v>0.0517</v>
      </c>
    </row>
    <row r="14" spans="1:15" ht="15">
      <c r="A14" s="56" t="s">
        <v>25</v>
      </c>
      <c r="B14" s="57">
        <v>0</v>
      </c>
      <c r="C14" s="58">
        <f t="shared" si="0"/>
        <v>0</v>
      </c>
      <c r="D14" s="59">
        <f t="shared" si="1"/>
        <v>0</v>
      </c>
      <c r="E14" s="60">
        <f>VALUE(Symbols!E39)</f>
        <v>125.05</v>
      </c>
      <c r="F14" s="37"/>
      <c r="G14" s="38"/>
      <c r="H14" s="39"/>
      <c r="I14" s="40">
        <f t="shared" si="2"/>
        <v>0</v>
      </c>
      <c r="J14" s="41"/>
      <c r="K14" s="42"/>
      <c r="L14" s="43"/>
      <c r="M14" s="43"/>
      <c r="N14" s="44"/>
      <c r="O14" s="45"/>
    </row>
    <row r="15" spans="1:15" ht="15">
      <c r="A15" s="61" t="s">
        <v>26</v>
      </c>
      <c r="B15" s="62">
        <v>0</v>
      </c>
      <c r="C15" s="63">
        <f t="shared" si="0"/>
        <v>0</v>
      </c>
      <c r="D15" s="64">
        <f t="shared" si="1"/>
        <v>0</v>
      </c>
      <c r="E15" s="65">
        <f>VALUE(Symbols!E42)</f>
        <v>28.12</v>
      </c>
      <c r="F15" s="37">
        <f aca="true" t="shared" si="3" ref="F15:F24">E15/N15</f>
        <v>11.76569037656904</v>
      </c>
      <c r="G15" s="38">
        <v>15.34</v>
      </c>
      <c r="H15" s="39" t="s">
        <v>583</v>
      </c>
      <c r="I15" s="40">
        <f t="shared" si="2"/>
        <v>0.7</v>
      </c>
      <c r="J15" s="41">
        <v>41396</v>
      </c>
      <c r="K15" s="42">
        <v>0.10450000000000001</v>
      </c>
      <c r="L15" s="43">
        <v>41400</v>
      </c>
      <c r="M15" s="43">
        <v>41487</v>
      </c>
      <c r="N15" s="44">
        <v>2.3899999999999997</v>
      </c>
      <c r="O15" s="45">
        <v>-0.0114</v>
      </c>
    </row>
    <row r="16" spans="1:15" ht="15">
      <c r="A16" s="66" t="s">
        <v>27</v>
      </c>
      <c r="B16" s="67">
        <v>0</v>
      </c>
      <c r="C16" s="68">
        <f t="shared" si="0"/>
        <v>0</v>
      </c>
      <c r="D16" s="69">
        <f t="shared" si="1"/>
        <v>0</v>
      </c>
      <c r="E16" s="70">
        <f>VALUE(Symbols!E51)</f>
        <v>62.11</v>
      </c>
      <c r="F16" s="37">
        <f t="shared" si="3"/>
        <v>19.229102167182663</v>
      </c>
      <c r="G16" s="38">
        <v>17.37</v>
      </c>
      <c r="H16" s="39" t="s">
        <v>584</v>
      </c>
      <c r="I16" s="40">
        <f t="shared" si="2"/>
        <v>7.8</v>
      </c>
      <c r="J16" s="41">
        <v>41396</v>
      </c>
      <c r="K16" s="71">
        <v>0.0017000000000000001</v>
      </c>
      <c r="L16" s="43">
        <v>41359</v>
      </c>
      <c r="M16" s="43">
        <v>41470</v>
      </c>
      <c r="N16" s="44">
        <v>3.23</v>
      </c>
      <c r="O16" s="45">
        <v>0.12150000000000001</v>
      </c>
    </row>
    <row r="17" spans="1:15" ht="15">
      <c r="A17" s="72" t="s">
        <v>28</v>
      </c>
      <c r="B17" s="73">
        <f>1160-1160+2000-2000+2000-2000+1000-1000+1000-1000+1200-1200+1000-1000</f>
        <v>0</v>
      </c>
      <c r="C17" s="74">
        <f t="shared" si="0"/>
        <v>0</v>
      </c>
      <c r="D17" s="75">
        <f t="shared" si="1"/>
        <v>0</v>
      </c>
      <c r="E17" s="76">
        <f>VALUE(Symbols!E29)</f>
        <v>51.96</v>
      </c>
      <c r="F17" s="37">
        <f t="shared" si="3"/>
        <v>9.020833333333334</v>
      </c>
      <c r="G17" s="38">
        <v>8.6</v>
      </c>
      <c r="H17" s="39" t="s">
        <v>585</v>
      </c>
      <c r="I17" s="40">
        <f t="shared" si="2"/>
        <v>8.9</v>
      </c>
      <c r="J17" s="41">
        <v>41396</v>
      </c>
      <c r="K17" s="42">
        <v>0.0316</v>
      </c>
      <c r="L17" s="43">
        <v>41457</v>
      </c>
      <c r="M17" s="43">
        <v>41470</v>
      </c>
      <c r="N17" s="44">
        <v>5.76</v>
      </c>
      <c r="O17" s="45">
        <v>0.1179</v>
      </c>
    </row>
    <row r="18" spans="1:15" ht="15">
      <c r="A18" s="66" t="s">
        <v>29</v>
      </c>
      <c r="B18" s="67">
        <v>300</v>
      </c>
      <c r="C18" s="68">
        <f t="shared" si="0"/>
        <v>7035</v>
      </c>
      <c r="D18" s="69">
        <f t="shared" si="1"/>
        <v>0.03509883552690661</v>
      </c>
      <c r="E18" s="50">
        <f>VALUE(Symbols!E38)</f>
        <v>23.45</v>
      </c>
      <c r="F18" s="37">
        <f t="shared" si="3"/>
        <v>7.492012779552716</v>
      </c>
      <c r="G18" s="38">
        <v>13.91</v>
      </c>
      <c r="H18" s="39" t="s">
        <v>579</v>
      </c>
      <c r="I18" s="40">
        <f t="shared" si="2"/>
        <v>4.6965</v>
      </c>
      <c r="J18" s="41">
        <v>41396</v>
      </c>
      <c r="K18" s="42">
        <v>0.1511</v>
      </c>
      <c r="L18" s="43">
        <v>41351</v>
      </c>
      <c r="M18" s="43">
        <v>41485</v>
      </c>
      <c r="N18" s="44">
        <v>3.13</v>
      </c>
      <c r="O18" s="45">
        <v>0.0458</v>
      </c>
    </row>
    <row r="19" spans="1:15" ht="15">
      <c r="A19" s="77" t="s">
        <v>30</v>
      </c>
      <c r="B19" s="78">
        <v>0</v>
      </c>
      <c r="C19" s="79">
        <f t="shared" si="0"/>
        <v>0</v>
      </c>
      <c r="D19" s="80">
        <f t="shared" si="1"/>
        <v>0</v>
      </c>
      <c r="E19" s="81">
        <f>VALUE(Symbols!E27)</f>
        <v>59.25</v>
      </c>
      <c r="F19" s="37">
        <f t="shared" si="3"/>
        <v>6.289808917197451</v>
      </c>
      <c r="G19" s="38">
        <v>7.82</v>
      </c>
      <c r="H19" s="39" t="s">
        <v>586</v>
      </c>
      <c r="I19" s="40">
        <f t="shared" si="2"/>
        <v>9.6</v>
      </c>
      <c r="J19" s="41">
        <v>41396</v>
      </c>
      <c r="K19" s="42">
        <v>0.0207</v>
      </c>
      <c r="L19" s="43">
        <v>41324</v>
      </c>
      <c r="M19" s="43">
        <v>41486</v>
      </c>
      <c r="N19" s="44">
        <v>9.420000000000002</v>
      </c>
      <c r="O19" s="45">
        <v>0.921</v>
      </c>
    </row>
    <row r="20" spans="1:15" ht="15">
      <c r="A20" s="82" t="s">
        <v>31</v>
      </c>
      <c r="B20" s="83">
        <v>0</v>
      </c>
      <c r="C20" s="84">
        <f t="shared" si="0"/>
        <v>0</v>
      </c>
      <c r="D20" s="85">
        <f t="shared" si="1"/>
        <v>0</v>
      </c>
      <c r="E20" s="86">
        <f>VALUE(Symbols!E41)</f>
        <v>39.31</v>
      </c>
      <c r="F20" s="37">
        <f t="shared" si="3"/>
        <v>14.505535055350554</v>
      </c>
      <c r="G20" s="38">
        <v>15.02</v>
      </c>
      <c r="H20" s="39" t="s">
        <v>587</v>
      </c>
      <c r="I20" s="40">
        <f t="shared" si="2"/>
        <v>8.6</v>
      </c>
      <c r="J20" s="41">
        <v>41396</v>
      </c>
      <c r="K20" s="42">
        <v>0.0037</v>
      </c>
      <c r="L20" s="43">
        <v>41353</v>
      </c>
      <c r="M20" s="43">
        <v>41488</v>
      </c>
      <c r="N20" s="44">
        <v>2.71</v>
      </c>
      <c r="O20" s="45">
        <v>0.040600000000000004</v>
      </c>
    </row>
    <row r="21" spans="1:15" ht="15">
      <c r="A21" s="87" t="s">
        <v>32</v>
      </c>
      <c r="B21" s="88">
        <f>300-300</f>
        <v>0</v>
      </c>
      <c r="C21" s="89">
        <f t="shared" si="0"/>
        <v>0</v>
      </c>
      <c r="D21" s="90">
        <f t="shared" si="1"/>
        <v>0</v>
      </c>
      <c r="E21" s="91">
        <f>VALUE(Symbols!E37)</f>
        <v>118.93</v>
      </c>
      <c r="F21" s="37">
        <f t="shared" si="3"/>
        <v>9.812706270627064</v>
      </c>
      <c r="G21" s="38">
        <v>9.22</v>
      </c>
      <c r="H21" s="39" t="s">
        <v>588</v>
      </c>
      <c r="I21" s="40">
        <f t="shared" si="2"/>
        <v>9.9</v>
      </c>
      <c r="J21" s="41">
        <v>41382</v>
      </c>
      <c r="K21" s="42">
        <v>0.0328</v>
      </c>
      <c r="L21" s="43">
        <v>41409</v>
      </c>
      <c r="M21" s="43">
        <v>41484</v>
      </c>
      <c r="N21" s="44">
        <v>12.12</v>
      </c>
      <c r="O21" s="45">
        <v>0.1514</v>
      </c>
    </row>
    <row r="22" spans="1:15" ht="15">
      <c r="A22" s="92" t="s">
        <v>33</v>
      </c>
      <c r="B22" s="93">
        <v>0</v>
      </c>
      <c r="C22" s="94">
        <f t="shared" si="0"/>
        <v>0</v>
      </c>
      <c r="D22" s="95">
        <f t="shared" si="1"/>
        <v>0</v>
      </c>
      <c r="E22" s="81">
        <f>VALUE(Symbols!E44)</f>
        <v>60.36</v>
      </c>
      <c r="F22" s="37">
        <f t="shared" si="3"/>
        <v>10.817204301075268</v>
      </c>
      <c r="G22" s="38">
        <v>10.4</v>
      </c>
      <c r="H22" s="39" t="s">
        <v>589</v>
      </c>
      <c r="I22" s="40">
        <f t="shared" si="2"/>
        <v>9</v>
      </c>
      <c r="J22" s="41">
        <v>41396</v>
      </c>
      <c r="K22" s="42">
        <v>0.043300000000000005</v>
      </c>
      <c r="L22" s="43">
        <v>41319</v>
      </c>
      <c r="M22" s="43">
        <v>41477</v>
      </c>
      <c r="N22" s="44">
        <v>5.58</v>
      </c>
      <c r="O22" s="45">
        <v>0.12350000000000001</v>
      </c>
    </row>
    <row r="23" spans="1:15" ht="15">
      <c r="A23" s="66" t="s">
        <v>34</v>
      </c>
      <c r="B23" s="96">
        <f>800-800</f>
        <v>0</v>
      </c>
      <c r="C23" s="97">
        <f t="shared" si="0"/>
        <v>0</v>
      </c>
      <c r="D23" s="98">
        <f t="shared" si="1"/>
        <v>0</v>
      </c>
      <c r="E23" s="99">
        <f>VALUE(Symbols!E24)</f>
        <v>46.39</v>
      </c>
      <c r="F23" s="37">
        <f t="shared" si="3"/>
        <v>9.766315789473685</v>
      </c>
      <c r="G23" s="38">
        <v>9.54</v>
      </c>
      <c r="H23" s="39" t="s">
        <v>590</v>
      </c>
      <c r="I23" s="40">
        <f t="shared" si="2"/>
        <v>9.2</v>
      </c>
      <c r="J23" s="41">
        <v>41396</v>
      </c>
      <c r="K23" s="42">
        <v>0.0178</v>
      </c>
      <c r="L23" s="43">
        <v>41401</v>
      </c>
      <c r="M23" s="43">
        <v>41442</v>
      </c>
      <c r="N23" s="44">
        <v>4.75</v>
      </c>
      <c r="O23" s="45">
        <v>0.3306</v>
      </c>
    </row>
    <row r="24" spans="1:15" ht="15">
      <c r="A24" s="100" t="s">
        <v>35</v>
      </c>
      <c r="B24" s="67">
        <v>0</v>
      </c>
      <c r="C24" s="68">
        <f t="shared" si="0"/>
        <v>0</v>
      </c>
      <c r="D24" s="69">
        <f t="shared" si="1"/>
        <v>0</v>
      </c>
      <c r="E24" s="70">
        <f>VALUE(Symbols!E33)</f>
        <v>39.29</v>
      </c>
      <c r="F24" s="37">
        <f t="shared" si="3"/>
        <v>36.04587155963303</v>
      </c>
      <c r="G24" s="38">
        <v>21.61</v>
      </c>
      <c r="H24" s="39" t="s">
        <v>591</v>
      </c>
      <c r="I24" s="40">
        <f t="shared" si="2"/>
        <v>6.4</v>
      </c>
      <c r="J24" s="41">
        <v>41396</v>
      </c>
      <c r="K24" s="42">
        <v>0</v>
      </c>
      <c r="L24" s="43">
        <v>41274</v>
      </c>
      <c r="M24" s="43">
        <v>41401</v>
      </c>
      <c r="N24" s="44">
        <v>1.0899999999999999</v>
      </c>
      <c r="O24" s="45">
        <v>0.6932</v>
      </c>
    </row>
    <row r="25" spans="1:15" ht="15">
      <c r="A25" s="100" t="s">
        <v>36</v>
      </c>
      <c r="B25" s="67">
        <v>100</v>
      </c>
      <c r="C25" s="68">
        <f t="shared" si="0"/>
        <v>10541</v>
      </c>
      <c r="D25" s="69">
        <f t="shared" si="1"/>
        <v>0.05259087779518445</v>
      </c>
      <c r="E25" s="70">
        <f>VALUE(Symbols!E47)</f>
        <v>105.41</v>
      </c>
      <c r="F25" s="37"/>
      <c r="G25" s="38"/>
      <c r="H25" s="39"/>
      <c r="I25" s="40">
        <f t="shared" si="2"/>
        <v>-1.0541</v>
      </c>
      <c r="J25" s="41"/>
      <c r="K25" s="42"/>
      <c r="L25" s="43"/>
      <c r="M25" s="43"/>
      <c r="N25" s="44"/>
      <c r="O25" s="45">
        <v>0.1</v>
      </c>
    </row>
    <row r="26" spans="1:15" ht="15">
      <c r="A26" s="100" t="s">
        <v>37</v>
      </c>
      <c r="B26" s="67">
        <v>0</v>
      </c>
      <c r="C26" s="68">
        <f t="shared" si="0"/>
        <v>0</v>
      </c>
      <c r="D26" s="69">
        <f t="shared" si="1"/>
        <v>0</v>
      </c>
      <c r="E26" s="70">
        <f>VALUE(Symbols!E58)</f>
        <v>23.36</v>
      </c>
      <c r="F26" s="37">
        <f aca="true" t="shared" si="4" ref="F26:F41">E26/N26</f>
        <v>20.31304347826087</v>
      </c>
      <c r="G26" s="38">
        <v>15.61</v>
      </c>
      <c r="H26" s="39" t="s">
        <v>592</v>
      </c>
      <c r="I26" s="40">
        <f t="shared" si="2"/>
        <v>8.2</v>
      </c>
      <c r="J26" s="41">
        <v>41396</v>
      </c>
      <c r="K26" s="42">
        <v>0.0341</v>
      </c>
      <c r="L26" s="43">
        <v>41326</v>
      </c>
      <c r="M26" s="43">
        <v>41470</v>
      </c>
      <c r="N26" s="44">
        <v>1.15</v>
      </c>
      <c r="O26" s="45">
        <v>0.13820000000000002</v>
      </c>
    </row>
    <row r="27" spans="1:15" ht="15">
      <c r="A27" s="100" t="s">
        <v>38</v>
      </c>
      <c r="B27" s="67">
        <v>0</v>
      </c>
      <c r="C27" s="68">
        <f t="shared" si="0"/>
        <v>0</v>
      </c>
      <c r="D27" s="69">
        <f t="shared" si="1"/>
        <v>0</v>
      </c>
      <c r="E27" s="70">
        <f>VALUE(Symbols!E52)</f>
        <v>15.46</v>
      </c>
      <c r="F27" s="37">
        <f t="shared" si="4"/>
        <v>33.608695652173914</v>
      </c>
      <c r="G27" s="38">
        <v>18.41</v>
      </c>
      <c r="H27" s="39" t="s">
        <v>593</v>
      </c>
      <c r="I27" s="40">
        <f t="shared" si="2"/>
        <v>7.6</v>
      </c>
      <c r="J27" s="41">
        <v>41396</v>
      </c>
      <c r="K27" s="42"/>
      <c r="L27" s="43"/>
      <c r="M27" s="43">
        <v>41480</v>
      </c>
      <c r="N27" s="44">
        <v>0.46</v>
      </c>
      <c r="O27" s="45">
        <v>0.6158</v>
      </c>
    </row>
    <row r="28" spans="1:15" ht="15">
      <c r="A28" s="101" t="s">
        <v>39</v>
      </c>
      <c r="B28" s="102">
        <v>150</v>
      </c>
      <c r="C28" s="103">
        <f t="shared" si="0"/>
        <v>12468</v>
      </c>
      <c r="D28" s="104">
        <f t="shared" si="1"/>
        <v>0.062205015117195686</v>
      </c>
      <c r="E28" s="105">
        <f>VALUE(Symbols!E14)</f>
        <v>83.12</v>
      </c>
      <c r="F28" s="37">
        <f t="shared" si="4"/>
        <v>11.756718528995757</v>
      </c>
      <c r="G28" s="38">
        <v>11.34</v>
      </c>
      <c r="H28" s="39" t="s">
        <v>594</v>
      </c>
      <c r="I28" s="40">
        <f t="shared" si="2"/>
        <v>4.853199999999999</v>
      </c>
      <c r="J28" s="41">
        <v>41396</v>
      </c>
      <c r="K28" s="42">
        <v>0.0247</v>
      </c>
      <c r="L28" s="43">
        <v>41382</v>
      </c>
      <c r="M28" s="43">
        <v>41479</v>
      </c>
      <c r="N28" s="44">
        <v>7.07</v>
      </c>
      <c r="O28" s="45">
        <v>-0.163</v>
      </c>
    </row>
    <row r="29" spans="1:15" ht="15">
      <c r="A29" s="100" t="s">
        <v>40</v>
      </c>
      <c r="B29" s="67">
        <v>0</v>
      </c>
      <c r="C29" s="68">
        <f t="shared" si="0"/>
        <v>0</v>
      </c>
      <c r="D29" s="69">
        <f t="shared" si="1"/>
        <v>0</v>
      </c>
      <c r="E29" s="70">
        <f>VALUE(Symbols!E19)</f>
        <v>48.64</v>
      </c>
      <c r="F29" s="37">
        <f t="shared" si="4"/>
        <v>18.285714285714285</v>
      </c>
      <c r="G29" s="38">
        <v>18.48</v>
      </c>
      <c r="H29" s="39" t="s">
        <v>586</v>
      </c>
      <c r="I29" s="40">
        <f t="shared" si="2"/>
        <v>9.6</v>
      </c>
      <c r="J29" s="41">
        <v>41396</v>
      </c>
      <c r="K29" s="42">
        <v>0.030100000000000002</v>
      </c>
      <c r="L29" s="43">
        <v>41463</v>
      </c>
      <c r="M29" s="43">
        <v>41451</v>
      </c>
      <c r="N29" s="44">
        <v>2.66</v>
      </c>
      <c r="O29" s="45">
        <v>0.3114</v>
      </c>
    </row>
    <row r="30" spans="1:15" ht="15">
      <c r="A30" s="100" t="s">
        <v>41</v>
      </c>
      <c r="B30" s="67">
        <v>0</v>
      </c>
      <c r="C30" s="68">
        <f t="shared" si="0"/>
        <v>0</v>
      </c>
      <c r="D30" s="69">
        <f t="shared" si="1"/>
        <v>0</v>
      </c>
      <c r="E30" s="70">
        <f>VALUE(Symbols!E32)</f>
        <v>62.08</v>
      </c>
      <c r="F30" s="37">
        <f t="shared" si="4"/>
        <v>16.869565217391305</v>
      </c>
      <c r="G30" s="38">
        <v>16.82</v>
      </c>
      <c r="H30" s="39" t="s">
        <v>595</v>
      </c>
      <c r="I30" s="40">
        <f t="shared" si="2"/>
        <v>2.2</v>
      </c>
      <c r="J30" s="41">
        <v>41396</v>
      </c>
      <c r="K30" s="42">
        <v>0.016900000000000002</v>
      </c>
      <c r="L30" s="43">
        <v>41346</v>
      </c>
      <c r="M30" s="43">
        <v>41449</v>
      </c>
      <c r="N30" s="44">
        <v>3.68</v>
      </c>
      <c r="O30" s="45">
        <v>-0.1042</v>
      </c>
    </row>
    <row r="31" spans="1:15" ht="15">
      <c r="A31" s="66" t="s">
        <v>42</v>
      </c>
      <c r="B31" s="67">
        <v>0</v>
      </c>
      <c r="C31" s="68">
        <f t="shared" si="0"/>
        <v>0</v>
      </c>
      <c r="D31" s="69">
        <f t="shared" si="1"/>
        <v>0</v>
      </c>
      <c r="E31" s="70">
        <f>VALUE(Symbols!E18)</f>
        <v>34.98</v>
      </c>
      <c r="F31" s="37">
        <f t="shared" si="4"/>
        <v>11.431372549019606</v>
      </c>
      <c r="G31" s="38">
        <v>13.48</v>
      </c>
      <c r="H31" s="39" t="s">
        <v>596</v>
      </c>
      <c r="I31" s="40">
        <f t="shared" si="2"/>
        <v>7.4</v>
      </c>
      <c r="J31" s="41">
        <v>41389</v>
      </c>
      <c r="K31" s="42">
        <v>0.0229</v>
      </c>
      <c r="L31" s="43">
        <v>41381</v>
      </c>
      <c r="M31" s="43">
        <v>41407</v>
      </c>
      <c r="N31" s="44">
        <v>3.06</v>
      </c>
      <c r="O31" s="45">
        <v>0.10540000000000001</v>
      </c>
    </row>
    <row r="32" spans="1:15" ht="15">
      <c r="A32" s="100" t="s">
        <v>43</v>
      </c>
      <c r="B32" s="67">
        <v>0</v>
      </c>
      <c r="C32" s="68">
        <f t="shared" si="0"/>
        <v>0</v>
      </c>
      <c r="D32" s="69">
        <f t="shared" si="1"/>
        <v>0</v>
      </c>
      <c r="E32" s="70">
        <f>VALUE(Symbols!E46)</f>
        <v>63.9</v>
      </c>
      <c r="F32" s="37">
        <f t="shared" si="4"/>
        <v>12.504892367906065</v>
      </c>
      <c r="G32" s="38">
        <v>11.59</v>
      </c>
      <c r="H32" s="39" t="s">
        <v>597</v>
      </c>
      <c r="I32" s="40">
        <f t="shared" si="2"/>
        <v>8.8</v>
      </c>
      <c r="J32" s="41">
        <v>41396</v>
      </c>
      <c r="K32" s="42">
        <v>0.0143</v>
      </c>
      <c r="L32" s="43">
        <v>41346</v>
      </c>
      <c r="M32" s="43">
        <v>41470</v>
      </c>
      <c r="N32" s="44">
        <v>5.11</v>
      </c>
      <c r="O32" s="45">
        <v>0.0675</v>
      </c>
    </row>
    <row r="33" spans="1:15" ht="15">
      <c r="A33" s="100" t="s">
        <v>44</v>
      </c>
      <c r="B33" s="67">
        <v>0</v>
      </c>
      <c r="C33" s="68">
        <f t="shared" si="0"/>
        <v>0</v>
      </c>
      <c r="D33" s="69">
        <f t="shared" si="1"/>
        <v>0</v>
      </c>
      <c r="E33" s="70">
        <f>VALUE(Symbols!E20)</f>
        <v>101.96</v>
      </c>
      <c r="F33" s="37">
        <f t="shared" si="4"/>
        <v>14.340365682137833</v>
      </c>
      <c r="G33" s="38">
        <v>14.18</v>
      </c>
      <c r="H33" s="39" t="s">
        <v>598</v>
      </c>
      <c r="I33" s="40">
        <f t="shared" si="2"/>
        <v>6.7</v>
      </c>
      <c r="J33" s="41">
        <v>41396</v>
      </c>
      <c r="K33" s="42">
        <v>0.0383</v>
      </c>
      <c r="L33" s="43">
        <v>41298</v>
      </c>
      <c r="M33" s="43">
        <v>41396</v>
      </c>
      <c r="N33" s="44">
        <v>7.11</v>
      </c>
      <c r="O33" s="45">
        <v>0.1519</v>
      </c>
    </row>
    <row r="34" spans="1:15" ht="15">
      <c r="A34" s="100" t="s">
        <v>45</v>
      </c>
      <c r="B34" s="67">
        <v>200</v>
      </c>
      <c r="C34" s="68">
        <f t="shared" si="0"/>
        <v>20392</v>
      </c>
      <c r="D34" s="69">
        <f t="shared" si="1"/>
        <v>0.10173922587984074</v>
      </c>
      <c r="E34" s="70">
        <f>VALUE(Symbols!E20)</f>
        <v>101.96</v>
      </c>
      <c r="F34" s="37">
        <f t="shared" si="4"/>
        <v>31.469135802469133</v>
      </c>
      <c r="G34" s="38">
        <v>20.67</v>
      </c>
      <c r="H34" s="39" t="s">
        <v>599</v>
      </c>
      <c r="I34" s="40">
        <f t="shared" si="2"/>
        <v>3.8608000000000002</v>
      </c>
      <c r="J34" s="41">
        <v>41396</v>
      </c>
      <c r="K34" s="42">
        <v>0.0117</v>
      </c>
      <c r="L34" s="43">
        <v>41249</v>
      </c>
      <c r="M34" s="43">
        <v>41401</v>
      </c>
      <c r="N34" s="44">
        <v>3.24</v>
      </c>
      <c r="O34" s="45">
        <v>0.4581</v>
      </c>
    </row>
    <row r="35" spans="1:15" ht="15">
      <c r="A35" s="100" t="s">
        <v>46</v>
      </c>
      <c r="B35" s="67">
        <v>0</v>
      </c>
      <c r="C35" s="68">
        <f t="shared" si="0"/>
        <v>0</v>
      </c>
      <c r="D35" s="69">
        <f t="shared" si="1"/>
        <v>0</v>
      </c>
      <c r="E35" s="70">
        <f>VALUE(Symbols!E10)</f>
        <v>82.47</v>
      </c>
      <c r="F35" s="37">
        <f t="shared" si="4"/>
        <v>10.181481481481482</v>
      </c>
      <c r="G35" s="38">
        <v>11.21</v>
      </c>
      <c r="H35" s="39" t="s">
        <v>600</v>
      </c>
      <c r="I35" s="40">
        <f t="shared" si="2"/>
        <v>9.1</v>
      </c>
      <c r="J35" s="41">
        <v>41389</v>
      </c>
      <c r="K35" s="42">
        <v>0.0228</v>
      </c>
      <c r="L35" s="43">
        <v>41359</v>
      </c>
      <c r="M35" s="43">
        <v>41409</v>
      </c>
      <c r="N35" s="44">
        <v>8.1</v>
      </c>
      <c r="O35" s="45">
        <v>0.0855</v>
      </c>
    </row>
    <row r="36" spans="1:15" ht="15">
      <c r="A36" s="100" t="s">
        <v>47</v>
      </c>
      <c r="B36" s="67">
        <v>200</v>
      </c>
      <c r="C36" s="68">
        <f t="shared" si="0"/>
        <v>12134</v>
      </c>
      <c r="D36" s="69">
        <f t="shared" si="1"/>
        <v>0.06053863117036032</v>
      </c>
      <c r="E36" s="70">
        <f>VALUE(Symbols!E22)</f>
        <v>60.67</v>
      </c>
      <c r="F36" s="37">
        <f t="shared" si="4"/>
        <v>13.94712643678161</v>
      </c>
      <c r="G36" s="38">
        <v>17.67</v>
      </c>
      <c r="H36" s="39" t="s">
        <v>601</v>
      </c>
      <c r="I36" s="40">
        <f t="shared" si="2"/>
        <v>8.1866</v>
      </c>
      <c r="J36" s="41">
        <v>41396</v>
      </c>
      <c r="K36" s="42">
        <v>0.0223</v>
      </c>
      <c r="L36" s="43">
        <v>41428</v>
      </c>
      <c r="M36" s="43">
        <v>41479</v>
      </c>
      <c r="N36" s="44">
        <v>4.35</v>
      </c>
      <c r="O36" s="45">
        <v>-0.010400000000000001</v>
      </c>
    </row>
    <row r="37" spans="1:15" ht="15">
      <c r="A37" s="100" t="s">
        <v>48</v>
      </c>
      <c r="B37" s="67">
        <v>0</v>
      </c>
      <c r="C37" s="68">
        <f t="shared" si="0"/>
        <v>0</v>
      </c>
      <c r="D37" s="69">
        <f t="shared" si="1"/>
        <v>0</v>
      </c>
      <c r="E37" s="70">
        <f>VALUE(Symbols!E55)</f>
        <v>53.26</v>
      </c>
      <c r="F37" s="37">
        <f t="shared" si="4"/>
        <v>15.045197740112993</v>
      </c>
      <c r="G37" s="38">
        <v>23.65</v>
      </c>
      <c r="H37" s="39" t="s">
        <v>602</v>
      </c>
      <c r="I37" s="40">
        <f t="shared" si="2"/>
        <v>5.3</v>
      </c>
      <c r="J37" s="41">
        <v>41396</v>
      </c>
      <c r="K37" s="42">
        <v>0.040600000000000004</v>
      </c>
      <c r="L37" s="43">
        <v>41395</v>
      </c>
      <c r="M37" s="43">
        <v>41400</v>
      </c>
      <c r="N37" s="44">
        <v>3.54</v>
      </c>
      <c r="O37" s="45">
        <v>0.4036</v>
      </c>
    </row>
    <row r="38" spans="1:15" ht="15">
      <c r="A38" s="100" t="s">
        <v>49</v>
      </c>
      <c r="B38" s="67">
        <v>0</v>
      </c>
      <c r="C38" s="68">
        <f t="shared" si="0"/>
        <v>0</v>
      </c>
      <c r="D38" s="69">
        <f t="shared" si="1"/>
        <v>0</v>
      </c>
      <c r="E38" s="70">
        <f>VALUE(Symbols!E23)</f>
        <v>83.15</v>
      </c>
      <c r="F38" s="37">
        <f t="shared" si="4"/>
        <v>14.06937394247039</v>
      </c>
      <c r="G38" s="38">
        <v>13.79</v>
      </c>
      <c r="H38" s="39" t="s">
        <v>603</v>
      </c>
      <c r="I38" s="40">
        <f t="shared" si="2"/>
        <v>6.8</v>
      </c>
      <c r="J38" s="41">
        <v>41389</v>
      </c>
      <c r="K38" s="42">
        <v>0.020200000000000003</v>
      </c>
      <c r="L38" s="43">
        <v>41346</v>
      </c>
      <c r="M38" s="43">
        <v>41477</v>
      </c>
      <c r="N38" s="44">
        <v>5.91</v>
      </c>
      <c r="O38" s="45">
        <v>0.1824</v>
      </c>
    </row>
    <row r="39" spans="1:15" ht="15">
      <c r="A39" s="106" t="s">
        <v>50</v>
      </c>
      <c r="B39" s="83">
        <v>300</v>
      </c>
      <c r="C39" s="107">
        <f t="shared" si="0"/>
        <v>12459</v>
      </c>
      <c r="D39" s="85">
        <f t="shared" si="1"/>
        <v>0.062160112555754016</v>
      </c>
      <c r="E39" s="86">
        <f>VALUE(Symbols!E11)</f>
        <v>41.53</v>
      </c>
      <c r="F39" s="37">
        <f t="shared" si="4"/>
        <v>4.568756875687569</v>
      </c>
      <c r="G39" s="38">
        <v>5.89</v>
      </c>
      <c r="H39" s="39" t="s">
        <v>588</v>
      </c>
      <c r="I39" s="40">
        <f t="shared" si="2"/>
        <v>8.6541</v>
      </c>
      <c r="J39" s="41">
        <v>41396</v>
      </c>
      <c r="K39" s="42">
        <v>0.024200000000000003</v>
      </c>
      <c r="L39" s="43">
        <v>41346</v>
      </c>
      <c r="M39" s="43">
        <v>41401</v>
      </c>
      <c r="N39" s="44">
        <v>9.09</v>
      </c>
      <c r="O39" s="45">
        <v>0.6376000000000001</v>
      </c>
    </row>
    <row r="40" spans="1:15" ht="15">
      <c r="A40" s="100" t="s">
        <v>51</v>
      </c>
      <c r="B40" s="67">
        <v>0</v>
      </c>
      <c r="C40" s="68">
        <f t="shared" si="0"/>
        <v>0</v>
      </c>
      <c r="D40" s="69">
        <f t="shared" si="1"/>
        <v>0</v>
      </c>
      <c r="E40" s="70">
        <f>VALUE(Symbols!E25)</f>
        <v>40.96</v>
      </c>
      <c r="F40" s="37">
        <f t="shared" si="4"/>
        <v>11.252747252747252</v>
      </c>
      <c r="G40" s="38">
        <v>10.6</v>
      </c>
      <c r="H40" s="39" t="s">
        <v>604</v>
      </c>
      <c r="I40" s="40">
        <f t="shared" si="2"/>
        <v>6.3</v>
      </c>
      <c r="J40" s="41">
        <v>41396</v>
      </c>
      <c r="K40" s="42">
        <v>0.032100000000000004</v>
      </c>
      <c r="L40" s="43">
        <v>41402</v>
      </c>
      <c r="M40" s="43">
        <v>41463</v>
      </c>
      <c r="N40" s="44">
        <v>3.64</v>
      </c>
      <c r="O40" s="45">
        <v>0.12040000000000001</v>
      </c>
    </row>
    <row r="41" spans="1:15" ht="15">
      <c r="A41" s="108" t="s">
        <v>52</v>
      </c>
      <c r="B41" s="67">
        <v>0</v>
      </c>
      <c r="C41" s="68">
        <f t="shared" si="0"/>
        <v>0</v>
      </c>
      <c r="D41" s="69">
        <f t="shared" si="1"/>
        <v>0</v>
      </c>
      <c r="E41" s="70">
        <f>VALUE(Symbols!E9)</f>
        <v>20.23</v>
      </c>
      <c r="F41" s="109">
        <f t="shared" si="4"/>
        <v>9.112612612612612</v>
      </c>
      <c r="G41" s="110">
        <v>9.82</v>
      </c>
      <c r="H41" s="111" t="s">
        <v>605</v>
      </c>
      <c r="I41" s="112">
        <f t="shared" si="2"/>
        <v>7</v>
      </c>
      <c r="J41" s="113">
        <v>41396</v>
      </c>
      <c r="K41" s="114">
        <v>0.018000000000000002</v>
      </c>
      <c r="L41" s="115">
        <v>41407</v>
      </c>
      <c r="M41" s="115">
        <v>41444</v>
      </c>
      <c r="N41" s="116">
        <v>2.22</v>
      </c>
      <c r="O41" s="117">
        <v>-0.25020000000000003</v>
      </c>
    </row>
    <row r="42" spans="1:15" ht="15">
      <c r="A42" s="118" t="s">
        <v>53</v>
      </c>
      <c r="B42" s="119"/>
      <c r="C42" s="120">
        <v>0</v>
      </c>
      <c r="D42" s="121">
        <f t="shared" si="1"/>
        <v>0</v>
      </c>
      <c r="E42" s="119"/>
      <c r="F42" s="122" t="s">
        <v>54</v>
      </c>
      <c r="G42" s="123">
        <v>16</v>
      </c>
      <c r="H42" s="124">
        <v>8</v>
      </c>
      <c r="I42" s="124"/>
      <c r="J42" s="125"/>
      <c r="K42" s="126">
        <v>0.037000000000000005</v>
      </c>
      <c r="L42" s="127">
        <v>7</v>
      </c>
      <c r="M42" s="128"/>
      <c r="N42" s="128"/>
      <c r="O42" s="129">
        <v>0.15</v>
      </c>
    </row>
    <row r="43" spans="1:15" ht="15">
      <c r="A43" s="130" t="s">
        <v>55</v>
      </c>
      <c r="B43" s="131"/>
      <c r="C43" s="132">
        <v>0</v>
      </c>
      <c r="D43" s="133">
        <f t="shared" si="1"/>
        <v>0</v>
      </c>
      <c r="E43" s="134"/>
      <c r="F43" s="135" t="s">
        <v>56</v>
      </c>
      <c r="G43" s="136">
        <v>10</v>
      </c>
      <c r="H43" s="137">
        <v>6</v>
      </c>
      <c r="I43" s="137"/>
      <c r="J43" s="138"/>
      <c r="L43" s="139">
        <v>2</v>
      </c>
      <c r="O43" s="140">
        <v>0.05</v>
      </c>
    </row>
    <row r="44" spans="1:15" ht="12.75">
      <c r="A44" s="141" t="s">
        <v>57</v>
      </c>
      <c r="B44" s="142"/>
      <c r="C44" s="143">
        <f>C53</f>
        <v>113000</v>
      </c>
      <c r="D44" s="144">
        <f t="shared" si="1"/>
        <v>0.5637766047676542</v>
      </c>
      <c r="E44" s="142"/>
      <c r="F44" s="145"/>
      <c r="G44" s="146"/>
      <c r="H44" s="147"/>
      <c r="I44" s="147"/>
      <c r="J44" s="147"/>
      <c r="K44" s="148"/>
      <c r="L44" s="149"/>
      <c r="M44" s="147"/>
      <c r="N44" s="147"/>
      <c r="O44" s="150"/>
    </row>
    <row r="45" spans="1:14" ht="16.5">
      <c r="A45" s="151"/>
      <c r="B45" s="152" t="s">
        <v>58</v>
      </c>
      <c r="C45" s="153">
        <f>SUM(C10:C44)</f>
        <v>200434</v>
      </c>
      <c r="D45" s="154">
        <f>SUM(D10:D44)</f>
        <v>1</v>
      </c>
      <c r="E45" s="155"/>
      <c r="F45" s="156"/>
      <c r="G45" s="157"/>
      <c r="I45" s="158" t="s">
        <v>59</v>
      </c>
      <c r="J45" s="159">
        <v>10</v>
      </c>
      <c r="K45" s="6" t="s">
        <v>60</v>
      </c>
      <c r="L45" s="160">
        <v>1</v>
      </c>
      <c r="M45" s="161"/>
      <c r="N45" s="13"/>
    </row>
    <row r="50" spans="1:13" ht="16.5">
      <c r="A50" s="162" t="s">
        <v>61</v>
      </c>
      <c r="B50" s="163"/>
      <c r="C50" s="163"/>
      <c r="D50" s="164"/>
      <c r="E50" s="165"/>
      <c r="F50" s="166" t="s">
        <v>62</v>
      </c>
      <c r="G50" s="167">
        <v>7.95</v>
      </c>
      <c r="H50" s="163"/>
      <c r="I50" s="163"/>
      <c r="J50" s="166"/>
      <c r="K50" s="168" t="s">
        <v>63</v>
      </c>
      <c r="L50" s="169">
        <v>40958</v>
      </c>
      <c r="M50" s="170"/>
    </row>
    <row r="51" spans="1:13" ht="15">
      <c r="A51" s="171" t="s">
        <v>64</v>
      </c>
      <c r="B51" s="172" t="s">
        <v>65</v>
      </c>
      <c r="C51" s="172" t="s">
        <v>7</v>
      </c>
      <c r="D51" s="172" t="s">
        <v>66</v>
      </c>
      <c r="E51" s="172" t="s">
        <v>67</v>
      </c>
      <c r="F51" s="172" t="s">
        <v>10</v>
      </c>
      <c r="G51" s="173" t="s">
        <v>8</v>
      </c>
      <c r="H51" s="172" t="s">
        <v>68</v>
      </c>
      <c r="I51" s="172" t="s">
        <v>69</v>
      </c>
      <c r="J51" s="172" t="s">
        <v>70</v>
      </c>
      <c r="K51" s="172" t="s">
        <v>71</v>
      </c>
      <c r="L51" s="174" t="s">
        <v>72</v>
      </c>
      <c r="M51" s="175"/>
    </row>
    <row r="52" spans="1:13" ht="15">
      <c r="A52" s="176" t="s">
        <v>21</v>
      </c>
      <c r="B52" s="177">
        <v>41361</v>
      </c>
      <c r="C52" s="178">
        <v>30</v>
      </c>
      <c r="D52" s="179">
        <v>444.69</v>
      </c>
      <c r="E52" s="180">
        <f>C52*D52+7.95</f>
        <v>13348.650000000001</v>
      </c>
      <c r="F52" s="181">
        <f>VALUE(Symbols!E31)</f>
        <v>413.5</v>
      </c>
      <c r="G52" s="182">
        <f>C52*F52</f>
        <v>12405</v>
      </c>
      <c r="H52" s="180">
        <f>G52-E52</f>
        <v>-943.6500000000015</v>
      </c>
      <c r="I52" s="183">
        <f>IF((E52&gt;0),((G52/E52)-1),0)</f>
        <v>-0.07069254194244368</v>
      </c>
      <c r="J52" s="178">
        <f>IF(((L52-B52)&gt;0),(L52-B52),1)</f>
        <v>264</v>
      </c>
      <c r="K52" s="184">
        <f>MAX(-1,(((H52*365)/IF((J52&gt;0),J52,1))/E52))</f>
        <v>-0.09773779473103014</v>
      </c>
      <c r="L52" s="185">
        <f ca="1">TODAY()</f>
        <v>41625</v>
      </c>
      <c r="M52" s="170"/>
    </row>
    <row r="53" spans="1:13" ht="15">
      <c r="A53" s="186" t="s">
        <v>57</v>
      </c>
      <c r="B53" s="187">
        <v>41390</v>
      </c>
      <c r="C53" s="188">
        <v>113000</v>
      </c>
      <c r="D53" s="189">
        <v>1</v>
      </c>
      <c r="E53" s="190">
        <f>D53*C53</f>
        <v>113000</v>
      </c>
      <c r="F53" s="191">
        <v>1</v>
      </c>
      <c r="G53" s="192">
        <f>C53*F53</f>
        <v>113000</v>
      </c>
      <c r="H53" s="190">
        <f>G53-E53</f>
        <v>0</v>
      </c>
      <c r="I53" s="193">
        <f>(G53/E53)-1</f>
        <v>0</v>
      </c>
      <c r="J53" s="194">
        <f>IF(((L53-B53)&gt;0),(L53-B53),1)</f>
        <v>235</v>
      </c>
      <c r="K53" s="195">
        <v>0.002</v>
      </c>
      <c r="L53" s="196">
        <f ca="1">TODAY()</f>
        <v>41625</v>
      </c>
      <c r="M53" s="197">
        <f>G53/G54</f>
        <v>0.9010804991826482</v>
      </c>
    </row>
    <row r="54" spans="1:12" ht="15">
      <c r="A54" s="198"/>
      <c r="B54" s="198"/>
      <c r="C54" s="199"/>
      <c r="D54" s="200" t="s">
        <v>73</v>
      </c>
      <c r="E54" s="201">
        <f>SUM(E52:E53)</f>
        <v>126348.65</v>
      </c>
      <c r="F54" s="202"/>
      <c r="G54" s="203">
        <f>SUM(G52:G53)</f>
        <v>125405</v>
      </c>
      <c r="H54" s="201">
        <f>G54-E54</f>
        <v>-943.6499999999942</v>
      </c>
      <c r="I54" s="204">
        <f>IF(E54,H54/E54,0)</f>
        <v>-0.007468619569738135</v>
      </c>
      <c r="J54" s="205"/>
      <c r="K54" s="206"/>
      <c r="L54" s="207"/>
    </row>
  </sheetData>
  <sheetProtection selectLockedCells="1" selectUnlockedCells="1"/>
  <conditionalFormatting sqref="A10:D10">
    <cfRule type="expression" priority="1" dxfId="0" stopIfTrue="1">
      <formula>Portfolio!$H$10&lt;Portfolio!$H$43</formula>
    </cfRule>
  </conditionalFormatting>
  <conditionalFormatting sqref="A11:D11">
    <cfRule type="expression" priority="2" dxfId="0" stopIfTrue="1">
      <formula>Portfolio!$H$11&lt;Portfolio!$H$43</formula>
    </cfRule>
  </conditionalFormatting>
  <conditionalFormatting sqref="A12:D12">
    <cfRule type="expression" priority="3" dxfId="0" stopIfTrue="1">
      <formula>Portfolio!$H$12&lt;Portfolio!$H$43</formula>
    </cfRule>
  </conditionalFormatting>
  <conditionalFormatting sqref="A13:D13">
    <cfRule type="expression" priority="4" dxfId="0" stopIfTrue="1">
      <formula>Portfolio!$H$13&lt;Portfolio!$H$43</formula>
    </cfRule>
  </conditionalFormatting>
  <conditionalFormatting sqref="A14:D14">
    <cfRule type="expression" priority="5" dxfId="0" stopIfTrue="1">
      <formula>AND(Portfolio!$J$29&gt;"",Portfolio!$H$14&lt;Portfolio!$H$43)</formula>
    </cfRule>
  </conditionalFormatting>
  <conditionalFormatting sqref="A15:D15">
    <cfRule type="expression" priority="6" dxfId="0" stopIfTrue="1">
      <formula>Portfolio!$H$15&lt;Portfolio!$H$43</formula>
    </cfRule>
  </conditionalFormatting>
  <conditionalFormatting sqref="A17:D17">
    <cfRule type="expression" priority="7" dxfId="0" stopIfTrue="1">
      <formula>Portfolio!$H$17&lt;Portfolio!$H$43</formula>
    </cfRule>
  </conditionalFormatting>
  <conditionalFormatting sqref="A18:D18">
    <cfRule type="expression" priority="8" dxfId="0" stopIfTrue="1">
      <formula>Portfolio!$H$18&lt;Portfolio!$H$43</formula>
    </cfRule>
  </conditionalFormatting>
  <conditionalFormatting sqref="A19:D19">
    <cfRule type="expression" priority="9" dxfId="0" stopIfTrue="1">
      <formula>Portfolio!$H$19&lt;Portfolio!$H$43</formula>
    </cfRule>
  </conditionalFormatting>
  <conditionalFormatting sqref="A20:D20">
    <cfRule type="expression" priority="10" dxfId="0" stopIfTrue="1">
      <formula>Portfolio!$H$20&lt;Portfolio!$H$43</formula>
    </cfRule>
  </conditionalFormatting>
  <conditionalFormatting sqref="A21:D21">
    <cfRule type="expression" priority="11" dxfId="0" stopIfTrue="1">
      <formula>Portfolio!$H$21&lt;Portfolio!$H$43</formula>
    </cfRule>
  </conditionalFormatting>
  <conditionalFormatting sqref="A22:D22">
    <cfRule type="expression" priority="12" dxfId="0" stopIfTrue="1">
      <formula>Portfolio!$H$22&lt;Portfolio!$H$43</formula>
    </cfRule>
  </conditionalFormatting>
  <conditionalFormatting sqref="F10:G41">
    <cfRule type="cellIs" priority="13" dxfId="8" operator="equal" stopIfTrue="1">
      <formula>0</formula>
    </cfRule>
    <cfRule type="cellIs" priority="14" dxfId="0" operator="greaterThanOrEqual" stopIfTrue="1">
      <formula>Portfolio!$G$42</formula>
    </cfRule>
    <cfRule type="cellIs" priority="15" dxfId="3" operator="lessThan" stopIfTrue="1">
      <formula>Portfolio!$G$43</formula>
    </cfRule>
  </conditionalFormatting>
  <conditionalFormatting sqref="J10:J41">
    <cfRule type="expression" priority="16" dxfId="7" stopIfTrue="1">
      <formula>AND(Portfolio!J10&lt;=TODAY(),Portfolio!J10&gt;=TODAY()-3)</formula>
    </cfRule>
  </conditionalFormatting>
  <conditionalFormatting sqref="K10:K41">
    <cfRule type="cellIs" priority="17" dxfId="3" operator="greaterThanOrEqual" stopIfTrue="1">
      <formula>Portfolio!$K$42</formula>
    </cfRule>
  </conditionalFormatting>
  <conditionalFormatting sqref="K44">
    <cfRule type="cellIs" priority="18" dxfId="3" operator="equal" stopIfTrue="1">
      <formula>"Buy"</formula>
    </cfRule>
    <cfRule type="cellIs" priority="19" dxfId="0" operator="equal" stopIfTrue="1">
      <formula>"Sell"</formula>
    </cfRule>
    <cfRule type="cellIs" priority="20" dxfId="17" operator="equal" stopIfTrue="1">
      <formula>"Buy Crash"</formula>
    </cfRule>
  </conditionalFormatting>
  <conditionalFormatting sqref="L44 M45">
    <cfRule type="cellIs" priority="21" dxfId="3" operator="greaterThanOrEqual" stopIfTrue="1">
      <formula>Portfolio!$H$42</formula>
    </cfRule>
    <cfRule type="expression" priority="22" dxfId="0" stopIfTrue="1">
      <formula>AND(Portfolio!L44&lt;&gt;"",Portfolio!L44&lt;Portfolio!$H$42)</formula>
    </cfRule>
  </conditionalFormatting>
  <conditionalFormatting sqref="L45">
    <cfRule type="cellIs" priority="23" dxfId="3" operator="equal" stopIfTrue="1">
      <formula>"Buy"</formula>
    </cfRule>
    <cfRule type="cellIs" priority="24" dxfId="0" operator="equal" stopIfTrue="1">
      <formula>"Sell"</formula>
    </cfRule>
  </conditionalFormatting>
  <conditionalFormatting sqref="H10:I41">
    <cfRule type="expression" priority="25" dxfId="3" stopIfTrue="1">
      <formula>ABS(VALUE(Portfolio!H10))&gt;=Portfolio!$H$42</formula>
    </cfRule>
    <cfRule type="expression" priority="26" dxfId="0" stopIfTrue="1">
      <formula>AND(Portfolio!H10&lt;&gt;"",ABS(VALUE(Portfolio!H10))&lt;Portfolio!$H$43)</formula>
    </cfRule>
  </conditionalFormatting>
  <conditionalFormatting sqref="O10:O41">
    <cfRule type="expression" priority="27" dxfId="0" stopIfTrue="1">
      <formula>AND(Portfolio!O10&lt;&gt;"",Portfolio!O10&lt;Portfolio!$O$43)</formula>
    </cfRule>
    <cfRule type="cellIs" priority="28" dxfId="3" operator="greaterThanOrEqual" stopIfTrue="1">
      <formula>Portfolio!$O$42</formula>
    </cfRule>
  </conditionalFormatting>
  <conditionalFormatting sqref="F45">
    <cfRule type="cellIs" priority="29" dxfId="8" operator="equal" stopIfTrue="1">
      <formula>0</formula>
    </cfRule>
  </conditionalFormatting>
  <conditionalFormatting sqref="B52">
    <cfRule type="expression" priority="30" dxfId="7" stopIfTrue="1">
      <formula>Portfolio!B52&gt;=TODAY()-Portfolio!$B$91</formula>
    </cfRule>
  </conditionalFormatting>
  <conditionalFormatting sqref="H52">
    <cfRule type="cellIs" priority="31" dxfId="0" operator="lessThan" stopIfTrue="1">
      <formula>0</formula>
    </cfRule>
    <cfRule type="cellIs" priority="32" dxfId="3" operator="greaterThan" stopIfTrue="1">
      <formula>0</formula>
    </cfRule>
  </conditionalFormatting>
  <conditionalFormatting sqref="H54">
    <cfRule type="cellIs" priority="33" dxfId="0" operator="lessThan" stopIfTrue="1">
      <formula>0</formula>
    </cfRule>
    <cfRule type="cellIs" priority="34" dxfId="3" operator="greaterThan" stopIfTrue="1">
      <formula>0</formula>
    </cfRule>
  </conditionalFormatting>
  <conditionalFormatting sqref="I52">
    <cfRule type="cellIs" priority="35" dxfId="0" operator="lessThan" stopIfTrue="1">
      <formula>-0.005</formula>
    </cfRule>
  </conditionalFormatting>
  <conditionalFormatting sqref="I53:I54">
    <cfRule type="cellIs" priority="36" dxfId="0" operator="lessThan" stopIfTrue="1">
      <formula>-0.005</formula>
    </cfRule>
  </conditionalFormatting>
  <conditionalFormatting sqref="L54">
    <cfRule type="cellIs" priority="37" dxfId="0" operator="lessThan" stopIfTrue="1">
      <formula>0</formula>
    </cfRule>
  </conditionalFormatting>
  <hyperlinks>
    <hyperlink ref="M9" r:id="rId1" display="Earnings"/>
  </hyperlinks>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drawing r:id="rId4"/>
  <legacyDrawing r:id="rId3"/>
</worksheet>
</file>

<file path=xl/worksheets/sheet2.xml><?xml version="1.0" encoding="utf-8"?>
<worksheet xmlns="http://schemas.openxmlformats.org/spreadsheetml/2006/main" xmlns:r="http://schemas.openxmlformats.org/officeDocument/2006/relationships">
  <dimension ref="A2:I27"/>
  <sheetViews>
    <sheetView zoomScale="87" zoomScaleNormal="87" workbookViewId="0" topLeftCell="A1">
      <selection activeCell="G3" sqref="G3"/>
    </sheetView>
  </sheetViews>
  <sheetFormatPr defaultColWidth="11.57421875" defaultRowHeight="12.75"/>
  <cols>
    <col min="1" max="1" width="25.140625" style="0" customWidth="1"/>
    <col min="2" max="5" width="11.421875" style="0" customWidth="1"/>
    <col min="6" max="6" width="10.00390625" style="0" customWidth="1"/>
    <col min="7" max="16384" width="11.421875" style="0" customWidth="1"/>
  </cols>
  <sheetData>
    <row r="2" spans="2:8" ht="12">
      <c r="B2" t="s">
        <v>74</v>
      </c>
      <c r="G2" s="4" t="s">
        <v>75</v>
      </c>
      <c r="H2" t="s">
        <v>76</v>
      </c>
    </row>
    <row r="3" spans="2:5" ht="12">
      <c r="B3" s="208" t="s">
        <v>77</v>
      </c>
      <c r="C3" s="208"/>
      <c r="D3" s="208"/>
      <c r="E3" s="208"/>
    </row>
    <row r="5" ht="31.5">
      <c r="C5" s="209" t="s">
        <v>78</v>
      </c>
    </row>
    <row r="6" ht="31.5">
      <c r="C6" s="209"/>
    </row>
    <row r="7" spans="2:9" ht="18">
      <c r="B7" s="210" t="s">
        <v>79</v>
      </c>
      <c r="I7" s="211"/>
    </row>
    <row r="8" spans="2:9" ht="18">
      <c r="B8" s="210"/>
      <c r="I8" s="211"/>
    </row>
    <row r="9" spans="1:9" ht="12">
      <c r="A9" s="4" t="s">
        <v>80</v>
      </c>
      <c r="B9" s="208">
        <v>15550</v>
      </c>
      <c r="D9" s="4" t="s">
        <v>81</v>
      </c>
      <c r="E9" s="212">
        <v>0.5</v>
      </c>
      <c r="G9" s="4" t="s">
        <v>82</v>
      </c>
      <c r="H9" s="213">
        <f>1-(1-E9)*'Seasonal Allocation'!C33</f>
        <v>0.5</v>
      </c>
      <c r="I9" s="211"/>
    </row>
    <row r="10" spans="1:9" ht="12">
      <c r="A10" s="4" t="s">
        <v>83</v>
      </c>
      <c r="B10" s="214">
        <v>14820</v>
      </c>
      <c r="D10" s="215"/>
      <c r="E10" s="216"/>
      <c r="F10" s="215"/>
      <c r="I10" s="211"/>
    </row>
    <row r="11" spans="1:9" ht="12">
      <c r="A11" s="4" t="s">
        <v>84</v>
      </c>
      <c r="B11" s="208">
        <v>8000</v>
      </c>
      <c r="D11" s="4" t="s">
        <v>85</v>
      </c>
      <c r="E11" s="212">
        <v>0</v>
      </c>
      <c r="F11" s="4"/>
      <c r="G11" s="4" t="s">
        <v>82</v>
      </c>
      <c r="H11" s="213">
        <f>1-(1-E11)*'Seasonal Allocation'!C33</f>
        <v>0</v>
      </c>
      <c r="I11" s="211"/>
    </row>
    <row r="12" spans="4:9" ht="12">
      <c r="D12" s="4"/>
      <c r="E12" s="217"/>
      <c r="F12" s="4"/>
      <c r="G12" s="217"/>
      <c r="I12" s="211"/>
    </row>
    <row r="13" spans="1:9" ht="12">
      <c r="A13" s="4" t="s">
        <v>86</v>
      </c>
      <c r="B13" s="218">
        <f>Portfolio!C45/1000</f>
        <v>200.434</v>
      </c>
      <c r="D13" s="4"/>
      <c r="E13" s="217"/>
      <c r="F13" s="4"/>
      <c r="G13" s="217"/>
      <c r="I13" s="211"/>
    </row>
    <row r="14" spans="1:9" ht="12">
      <c r="A14" s="4" t="s">
        <v>87</v>
      </c>
      <c r="B14" s="218">
        <f>(Portfolio!C45-Portfolio!C44)/1000</f>
        <v>87.434</v>
      </c>
      <c r="I14" s="211"/>
    </row>
    <row r="15" spans="1:9" ht="12">
      <c r="A15" s="4" t="s">
        <v>88</v>
      </c>
      <c r="B15" s="219">
        <f>B13-B14</f>
        <v>113</v>
      </c>
      <c r="I15" s="211"/>
    </row>
    <row r="16" spans="1:9" ht="12">
      <c r="A16" s="4" t="s">
        <v>89</v>
      </c>
      <c r="B16" s="220">
        <f>(B10-B11)/(B9-B11)</f>
        <v>0.9033112582781457</v>
      </c>
      <c r="I16" s="211"/>
    </row>
    <row r="17" spans="1:9" ht="12">
      <c r="A17" s="4" t="s">
        <v>90</v>
      </c>
      <c r="B17" s="220">
        <f>B16*(H9-H11)+H11</f>
        <v>0.45165562913907287</v>
      </c>
      <c r="I17" s="211"/>
    </row>
    <row r="18" spans="1:9" ht="12">
      <c r="A18" s="4" t="s">
        <v>91</v>
      </c>
      <c r="B18" s="221">
        <f>B17*B13</f>
        <v>90.52714437086092</v>
      </c>
      <c r="I18" s="211"/>
    </row>
    <row r="19" spans="1:9" ht="12">
      <c r="A19" s="4" t="s">
        <v>92</v>
      </c>
      <c r="B19" s="221">
        <f>IF(B15&gt;B18,B15-B18)</f>
        <v>22.472855629139076</v>
      </c>
      <c r="I19" s="211"/>
    </row>
    <row r="20" spans="1:9" ht="12">
      <c r="A20" s="4" t="s">
        <v>93</v>
      </c>
      <c r="B20" s="221" t="b">
        <f>IF(B15&lt;B18,B18-B15)</f>
        <v>0</v>
      </c>
      <c r="I20" s="211"/>
    </row>
    <row r="21" ht="12">
      <c r="I21" s="211"/>
    </row>
    <row r="22" spans="1:9" ht="15">
      <c r="A22" s="222" t="str">
        <f>TEXT(B22,"$0k")&amp;"  "&amp;IF(B19,"Invested","Investment Target")</f>
        <v>$87k  Invested</v>
      </c>
      <c r="B22" s="221">
        <f>IF(B19,B14,B14-B20)</f>
        <v>87.434</v>
      </c>
      <c r="I22" s="211"/>
    </row>
    <row r="23" spans="1:2" ht="16.5">
      <c r="A23" s="223" t="str">
        <f>TEXT(B23,"$0k")&amp;"   "&amp;IF(B19,"Cash to buy","Should sell")</f>
        <v>$22k   Cash to buy</v>
      </c>
      <c r="B23" s="224">
        <f>IF(B19,B19,-B20)</f>
        <v>22.472855629139076</v>
      </c>
    </row>
    <row r="24" spans="1:2" ht="15">
      <c r="A24" s="222" t="str">
        <f>TEXT(B24,"$0k")&amp;"  "&amp;IF(B19,"Cash Target","Cash")</f>
        <v>$91k  Cash Target</v>
      </c>
      <c r="B24" s="221">
        <f>IF(B19,B15-B19,B15)</f>
        <v>90.52714437086092</v>
      </c>
    </row>
    <row r="26" spans="1:2" ht="12.75">
      <c r="A26" s="225"/>
      <c r="B26" s="8"/>
    </row>
    <row r="27" spans="1:2" ht="12.75">
      <c r="A27" s="225"/>
      <c r="B27" s="8"/>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1"/>
</worksheet>
</file>

<file path=xl/worksheets/sheet3.xml><?xml version="1.0" encoding="utf-8"?>
<worksheet xmlns="http://schemas.openxmlformats.org/spreadsheetml/2006/main" xmlns:r="http://schemas.openxmlformats.org/officeDocument/2006/relationships">
  <dimension ref="A1:M36"/>
  <sheetViews>
    <sheetView zoomScale="87" zoomScaleNormal="87" workbookViewId="0" topLeftCell="A1">
      <selection activeCell="B7" sqref="B7"/>
    </sheetView>
  </sheetViews>
  <sheetFormatPr defaultColWidth="11.57421875" defaultRowHeight="12.75"/>
  <cols>
    <col min="1" max="12" width="11.421875" style="0" customWidth="1"/>
    <col min="13" max="13" width="9.28125" style="0" customWidth="1"/>
    <col min="14" max="16384" width="11.421875" style="0" customWidth="1"/>
  </cols>
  <sheetData>
    <row r="1" spans="2:7" ht="12">
      <c r="B1" t="s">
        <v>94</v>
      </c>
      <c r="G1" t="s">
        <v>76</v>
      </c>
    </row>
    <row r="2" spans="2:5" ht="12">
      <c r="B2" s="208" t="s">
        <v>77</v>
      </c>
      <c r="C2" s="208"/>
      <c r="D2" s="208"/>
      <c r="E2" s="208"/>
    </row>
    <row r="4" spans="1:8" ht="18">
      <c r="A4" s="210" t="s">
        <v>95</v>
      </c>
      <c r="F4" s="226" t="s">
        <v>96</v>
      </c>
      <c r="H4" s="211"/>
    </row>
    <row r="6" spans="1:6" ht="12">
      <c r="A6" s="4" t="s">
        <v>97</v>
      </c>
      <c r="B6" s="227">
        <v>0.75</v>
      </c>
      <c r="C6" s="4" t="s">
        <v>98</v>
      </c>
      <c r="D6" s="227">
        <v>1</v>
      </c>
      <c r="E6" s="4"/>
      <c r="F6" s="228"/>
    </row>
    <row r="7" spans="1:6" ht="12">
      <c r="A7" s="4"/>
      <c r="B7" s="229"/>
      <c r="C7" s="4"/>
      <c r="D7" s="229"/>
      <c r="E7" s="4"/>
      <c r="F7" s="228"/>
    </row>
    <row r="8" spans="1:13" ht="12">
      <c r="A8">
        <v>1</v>
      </c>
      <c r="B8" s="230">
        <v>100</v>
      </c>
      <c r="C8" s="231">
        <f aca="true" t="shared" si="0" ref="C8:C31">$B$6+($D$6-$B$6)*B8/100</f>
        <v>1</v>
      </c>
      <c r="D8" s="232"/>
      <c r="E8" s="232"/>
      <c r="F8" s="232"/>
      <c r="G8" s="233"/>
      <c r="H8" s="233"/>
      <c r="I8" s="233"/>
      <c r="J8" s="233"/>
      <c r="K8" s="233"/>
      <c r="L8" s="233"/>
      <c r="M8" s="233"/>
    </row>
    <row r="9" spans="1:13" ht="12">
      <c r="A9">
        <v>1.5</v>
      </c>
      <c r="B9" s="230">
        <v>100</v>
      </c>
      <c r="C9" s="231">
        <f t="shared" si="0"/>
        <v>1</v>
      </c>
      <c r="D9" s="232"/>
      <c r="E9" s="232"/>
      <c r="F9" s="232"/>
      <c r="G9" s="233"/>
      <c r="H9" s="233"/>
      <c r="I9" s="233"/>
      <c r="J9" s="233"/>
      <c r="K9" s="233"/>
      <c r="L9" s="233"/>
      <c r="M9" s="233"/>
    </row>
    <row r="10" spans="1:13" ht="12">
      <c r="A10" s="234">
        <v>2</v>
      </c>
      <c r="B10" s="230">
        <v>100</v>
      </c>
      <c r="C10" s="231">
        <f t="shared" si="0"/>
        <v>1</v>
      </c>
      <c r="D10" s="233"/>
      <c r="E10" s="233"/>
      <c r="F10" s="233"/>
      <c r="G10" s="233"/>
      <c r="H10" s="233"/>
      <c r="I10" s="233"/>
      <c r="J10" s="233"/>
      <c r="K10" s="233"/>
      <c r="L10" s="233"/>
      <c r="M10" s="233"/>
    </row>
    <row r="11" spans="1:13" ht="12">
      <c r="A11" s="234">
        <v>2.5</v>
      </c>
      <c r="B11" s="230">
        <v>100</v>
      </c>
      <c r="C11" s="231">
        <f t="shared" si="0"/>
        <v>1</v>
      </c>
      <c r="D11" s="233"/>
      <c r="E11" s="233"/>
      <c r="F11" s="233"/>
      <c r="G11" s="233"/>
      <c r="H11" s="233"/>
      <c r="I11" s="233"/>
      <c r="J11" s="233"/>
      <c r="K11" s="233"/>
      <c r="L11" s="233"/>
      <c r="M11" s="233"/>
    </row>
    <row r="12" spans="1:13" ht="12">
      <c r="A12" s="234">
        <v>3</v>
      </c>
      <c r="B12" s="230">
        <v>100</v>
      </c>
      <c r="C12" s="231">
        <f t="shared" si="0"/>
        <v>1</v>
      </c>
      <c r="D12" s="233"/>
      <c r="E12" s="233"/>
      <c r="F12" s="233"/>
      <c r="G12" s="233"/>
      <c r="H12" s="233"/>
      <c r="I12" s="233"/>
      <c r="J12" s="233"/>
      <c r="K12" s="233"/>
      <c r="L12" s="233"/>
      <c r="M12" s="233"/>
    </row>
    <row r="13" spans="1:13" ht="12">
      <c r="A13" s="234">
        <v>3.5</v>
      </c>
      <c r="B13" s="230">
        <v>100</v>
      </c>
      <c r="C13" s="231">
        <f t="shared" si="0"/>
        <v>1</v>
      </c>
      <c r="D13" s="233"/>
      <c r="E13" s="233"/>
      <c r="F13" s="233"/>
      <c r="G13" s="233"/>
      <c r="H13" s="233"/>
      <c r="I13" s="233"/>
      <c r="J13" s="233"/>
      <c r="K13" s="233"/>
      <c r="L13" s="233"/>
      <c r="M13" s="233"/>
    </row>
    <row r="14" spans="1:13" ht="12">
      <c r="A14" s="234">
        <v>4</v>
      </c>
      <c r="B14" s="230">
        <v>100</v>
      </c>
      <c r="C14" s="231">
        <f t="shared" si="0"/>
        <v>1</v>
      </c>
      <c r="D14" s="233"/>
      <c r="E14" s="233"/>
      <c r="F14" s="233"/>
      <c r="G14" s="233"/>
      <c r="H14" s="233"/>
      <c r="I14" s="233"/>
      <c r="J14" s="233"/>
      <c r="K14" s="233"/>
      <c r="L14" s="233"/>
      <c r="M14" s="233"/>
    </row>
    <row r="15" spans="1:13" ht="12">
      <c r="A15" s="234">
        <v>4.5</v>
      </c>
      <c r="B15" s="230">
        <v>66</v>
      </c>
      <c r="C15" s="231">
        <f t="shared" si="0"/>
        <v>0.915</v>
      </c>
      <c r="D15" s="233"/>
      <c r="E15" s="233"/>
      <c r="F15" s="233"/>
      <c r="G15" s="233"/>
      <c r="H15" s="233"/>
      <c r="I15" s="233"/>
      <c r="J15" s="233"/>
      <c r="K15" s="233"/>
      <c r="L15" s="233"/>
      <c r="M15" s="233"/>
    </row>
    <row r="16" spans="1:13" ht="12">
      <c r="A16" s="234">
        <v>5</v>
      </c>
      <c r="B16" s="230">
        <v>33</v>
      </c>
      <c r="C16" s="231">
        <f t="shared" si="0"/>
        <v>0.8325</v>
      </c>
      <c r="D16" s="233"/>
      <c r="E16" s="233"/>
      <c r="F16" s="233"/>
      <c r="G16" s="233"/>
      <c r="H16" s="233"/>
      <c r="I16" s="233"/>
      <c r="J16" s="233"/>
      <c r="K16" s="233"/>
      <c r="L16" s="233"/>
      <c r="M16" s="233"/>
    </row>
    <row r="17" spans="1:13" ht="12">
      <c r="A17" s="234">
        <v>5.5</v>
      </c>
      <c r="B17" s="230">
        <v>0</v>
      </c>
      <c r="C17" s="231">
        <f t="shared" si="0"/>
        <v>0.75</v>
      </c>
      <c r="D17" s="233"/>
      <c r="E17" s="233"/>
      <c r="F17" s="233"/>
      <c r="G17" s="233"/>
      <c r="H17" s="233"/>
      <c r="I17" s="233"/>
      <c r="J17" s="233"/>
      <c r="K17" s="233"/>
      <c r="L17" s="233"/>
      <c r="M17" s="233"/>
    </row>
    <row r="18" spans="1:13" ht="12">
      <c r="A18" s="234">
        <v>6</v>
      </c>
      <c r="B18" s="230">
        <v>0</v>
      </c>
      <c r="C18" s="231">
        <f t="shared" si="0"/>
        <v>0.75</v>
      </c>
      <c r="D18" s="233"/>
      <c r="E18" s="233"/>
      <c r="F18" s="233"/>
      <c r="G18" s="233"/>
      <c r="H18" s="233"/>
      <c r="I18" s="233"/>
      <c r="J18" s="233"/>
      <c r="K18" s="233"/>
      <c r="L18" s="233"/>
      <c r="M18" s="233"/>
    </row>
    <row r="19" spans="1:13" ht="12">
      <c r="A19" s="234">
        <v>6.5</v>
      </c>
      <c r="B19" s="230">
        <v>0</v>
      </c>
      <c r="C19" s="231">
        <f t="shared" si="0"/>
        <v>0.75</v>
      </c>
      <c r="D19" s="233"/>
      <c r="E19" s="233"/>
      <c r="F19" s="233"/>
      <c r="G19" s="233"/>
      <c r="H19" s="233"/>
      <c r="I19" s="233"/>
      <c r="J19" s="233"/>
      <c r="K19" s="233"/>
      <c r="L19" s="233"/>
      <c r="M19" s="233"/>
    </row>
    <row r="20" spans="1:13" ht="12">
      <c r="A20" s="234">
        <v>7</v>
      </c>
      <c r="B20" s="230">
        <v>0</v>
      </c>
      <c r="C20" s="231">
        <f t="shared" si="0"/>
        <v>0.75</v>
      </c>
      <c r="D20" s="233"/>
      <c r="E20" s="233"/>
      <c r="F20" s="233"/>
      <c r="G20" s="233"/>
      <c r="H20" s="233"/>
      <c r="I20" s="233"/>
      <c r="J20" s="233"/>
      <c r="K20" s="233"/>
      <c r="L20" s="233"/>
      <c r="M20" s="233"/>
    </row>
    <row r="21" spans="1:13" ht="12">
      <c r="A21" s="234">
        <v>7.5</v>
      </c>
      <c r="B21" s="230">
        <v>0</v>
      </c>
      <c r="C21" s="231">
        <f t="shared" si="0"/>
        <v>0.75</v>
      </c>
      <c r="D21" s="233"/>
      <c r="E21" s="233"/>
      <c r="F21" s="233"/>
      <c r="G21" s="233"/>
      <c r="H21" s="233"/>
      <c r="I21" s="233"/>
      <c r="J21" s="233"/>
      <c r="K21" s="233"/>
      <c r="L21" s="233"/>
      <c r="M21" s="233"/>
    </row>
    <row r="22" spans="1:13" ht="12">
      <c r="A22" s="234">
        <v>8</v>
      </c>
      <c r="B22" s="230">
        <v>0</v>
      </c>
      <c r="C22" s="231">
        <f t="shared" si="0"/>
        <v>0.75</v>
      </c>
      <c r="D22" s="233"/>
      <c r="E22" s="233"/>
      <c r="F22" s="233"/>
      <c r="G22" s="233"/>
      <c r="H22" s="233"/>
      <c r="I22" s="233"/>
      <c r="J22" s="233"/>
      <c r="K22" s="233"/>
      <c r="L22" s="233"/>
      <c r="M22" s="233"/>
    </row>
    <row r="23" spans="1:13" ht="12">
      <c r="A23" s="234">
        <v>8.5</v>
      </c>
      <c r="B23" s="230">
        <v>0</v>
      </c>
      <c r="C23" s="231">
        <f t="shared" si="0"/>
        <v>0.75</v>
      </c>
      <c r="D23" s="233"/>
      <c r="E23" s="233"/>
      <c r="F23" s="233"/>
      <c r="G23" s="233"/>
      <c r="H23" s="233"/>
      <c r="I23" s="233"/>
      <c r="J23" s="233"/>
      <c r="K23" s="233"/>
      <c r="L23" s="233"/>
      <c r="M23" s="233"/>
    </row>
    <row r="24" spans="1:13" ht="12">
      <c r="A24" s="234">
        <v>9</v>
      </c>
      <c r="B24" s="230">
        <v>0</v>
      </c>
      <c r="C24" s="231">
        <f t="shared" si="0"/>
        <v>0.75</v>
      </c>
      <c r="D24" s="233"/>
      <c r="E24" s="233"/>
      <c r="F24" s="233"/>
      <c r="G24" s="233"/>
      <c r="H24" s="233"/>
      <c r="I24" s="233"/>
      <c r="J24" s="233"/>
      <c r="K24" s="233"/>
      <c r="L24" s="233"/>
      <c r="M24" s="233"/>
    </row>
    <row r="25" spans="1:13" ht="12">
      <c r="A25" s="234">
        <v>9.5</v>
      </c>
      <c r="B25" s="230">
        <v>0</v>
      </c>
      <c r="C25" s="231">
        <f t="shared" si="0"/>
        <v>0.75</v>
      </c>
      <c r="D25" s="233"/>
      <c r="E25" s="233"/>
      <c r="F25" s="233"/>
      <c r="G25" s="233"/>
      <c r="H25" s="233"/>
      <c r="I25" s="233"/>
      <c r="J25" s="233"/>
      <c r="K25" s="233"/>
      <c r="L25" s="233"/>
      <c r="M25" s="233"/>
    </row>
    <row r="26" spans="1:13" ht="12">
      <c r="A26" s="234">
        <v>10</v>
      </c>
      <c r="B26" s="230">
        <v>33</v>
      </c>
      <c r="C26" s="231">
        <f t="shared" si="0"/>
        <v>0.8325</v>
      </c>
      <c r="D26" s="233"/>
      <c r="E26" s="233"/>
      <c r="F26" s="233"/>
      <c r="G26" s="233"/>
      <c r="H26" s="233"/>
      <c r="I26" s="233"/>
      <c r="J26" s="233"/>
      <c r="K26" s="233"/>
      <c r="L26" s="233"/>
      <c r="M26" s="233"/>
    </row>
    <row r="27" spans="1:13" ht="12">
      <c r="A27" s="234">
        <v>10.5</v>
      </c>
      <c r="B27" s="230">
        <v>66</v>
      </c>
      <c r="C27" s="231">
        <f t="shared" si="0"/>
        <v>0.915</v>
      </c>
      <c r="D27" s="233"/>
      <c r="E27" s="233"/>
      <c r="F27" s="233"/>
      <c r="G27" s="233"/>
      <c r="H27" s="233"/>
      <c r="I27" s="233"/>
      <c r="J27" s="233"/>
      <c r="K27" s="233"/>
      <c r="L27" s="233"/>
      <c r="M27" s="233"/>
    </row>
    <row r="28" spans="1:13" ht="12">
      <c r="A28" s="234">
        <v>11</v>
      </c>
      <c r="B28" s="230">
        <v>100</v>
      </c>
      <c r="C28" s="231">
        <f t="shared" si="0"/>
        <v>1</v>
      </c>
      <c r="D28" s="233"/>
      <c r="E28" s="233"/>
      <c r="F28" s="233"/>
      <c r="G28" s="233"/>
      <c r="H28" s="233"/>
      <c r="I28" s="233"/>
      <c r="J28" s="233"/>
      <c r="K28" s="233"/>
      <c r="L28" s="233"/>
      <c r="M28" s="233"/>
    </row>
    <row r="29" spans="1:13" ht="12">
      <c r="A29" s="234">
        <v>11.5</v>
      </c>
      <c r="B29" s="230">
        <v>100</v>
      </c>
      <c r="C29" s="231">
        <f t="shared" si="0"/>
        <v>1</v>
      </c>
      <c r="D29" s="233"/>
      <c r="E29" s="233"/>
      <c r="F29" s="233"/>
      <c r="G29" s="233"/>
      <c r="H29" s="233"/>
      <c r="I29" s="233"/>
      <c r="J29" s="233"/>
      <c r="K29" s="233"/>
      <c r="L29" s="233"/>
      <c r="M29" s="233"/>
    </row>
    <row r="30" spans="1:13" ht="12">
      <c r="A30" s="234">
        <v>12</v>
      </c>
      <c r="B30" s="230">
        <v>100</v>
      </c>
      <c r="C30" s="231">
        <f t="shared" si="0"/>
        <v>1</v>
      </c>
      <c r="D30" s="233"/>
      <c r="E30" s="233"/>
      <c r="F30" s="233"/>
      <c r="G30" s="233"/>
      <c r="H30" s="233"/>
      <c r="I30" s="233"/>
      <c r="J30" s="233"/>
      <c r="K30" s="233"/>
      <c r="L30" s="233"/>
      <c r="M30" s="233"/>
    </row>
    <row r="31" spans="1:13" ht="12">
      <c r="A31" s="234">
        <v>12.5</v>
      </c>
      <c r="B31" s="230">
        <v>100</v>
      </c>
      <c r="C31" s="231">
        <f t="shared" si="0"/>
        <v>1</v>
      </c>
      <c r="D31" s="233"/>
      <c r="E31" s="233"/>
      <c r="F31" s="233"/>
      <c r="G31" s="233"/>
      <c r="H31" s="233"/>
      <c r="I31" s="233"/>
      <c r="J31" s="233"/>
      <c r="K31" s="233"/>
      <c r="L31" s="233"/>
      <c r="M31" s="233"/>
    </row>
    <row r="32" spans="1:13" ht="12">
      <c r="A32" s="235"/>
      <c r="C32" s="8"/>
      <c r="D32" s="233"/>
      <c r="E32" s="233"/>
      <c r="F32" s="233"/>
      <c r="G32" s="233"/>
      <c r="H32" s="233"/>
      <c r="I32" s="233"/>
      <c r="J32" s="233"/>
      <c r="K32" s="233"/>
      <c r="L32" s="233"/>
      <c r="M32" s="233"/>
    </row>
    <row r="33" spans="1:13" ht="12.75">
      <c r="A33" s="236" t="s">
        <v>99</v>
      </c>
      <c r="B33" s="237"/>
      <c r="C33" s="238">
        <f ca="1">INDIRECT(ADDRESS(CELL("row",A8)+2*(MONTH(A34)-1)+IF(DAY(A34)&gt;=15,1,0),CELL("col",A8)+2,1))</f>
        <v>1</v>
      </c>
      <c r="D33" s="239"/>
      <c r="E33" s="240" t="s">
        <v>100</v>
      </c>
      <c r="F33" s="240" t="s">
        <v>100</v>
      </c>
      <c r="G33" s="7" t="s">
        <v>100</v>
      </c>
      <c r="H33" s="240" t="s">
        <v>100</v>
      </c>
      <c r="I33" s="240" t="s">
        <v>100</v>
      </c>
      <c r="J33" s="240" t="s">
        <v>100</v>
      </c>
      <c r="K33" s="240" t="s">
        <v>100</v>
      </c>
      <c r="L33" s="240" t="s">
        <v>100</v>
      </c>
      <c r="M33" s="233"/>
    </row>
    <row r="34" spans="1:13" ht="12">
      <c r="A34" s="235">
        <f ca="1">TODAY()</f>
        <v>41625</v>
      </c>
      <c r="C34" s="8"/>
      <c r="D34" s="233"/>
      <c r="E34" s="241" t="s">
        <v>101</v>
      </c>
      <c r="F34" s="241" t="s">
        <v>101</v>
      </c>
      <c r="G34" s="242" t="s">
        <v>101</v>
      </c>
      <c r="H34" s="243" t="s">
        <v>101</v>
      </c>
      <c r="I34" s="243" t="s">
        <v>101</v>
      </c>
      <c r="J34" s="243" t="s">
        <v>101</v>
      </c>
      <c r="K34" s="241" t="s">
        <v>101</v>
      </c>
      <c r="L34" s="241" t="s">
        <v>101</v>
      </c>
      <c r="M34" s="233"/>
    </row>
    <row r="35" spans="2:3" ht="12">
      <c r="B35" s="236"/>
      <c r="C35" s="244"/>
    </row>
    <row r="36" spans="1:3" ht="12">
      <c r="A36" s="235"/>
      <c r="C36" s="220"/>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1"/>
</worksheet>
</file>

<file path=xl/worksheets/sheet4.xml><?xml version="1.0" encoding="utf-8"?>
<worksheet xmlns="http://schemas.openxmlformats.org/spreadsheetml/2006/main" xmlns:r="http://schemas.openxmlformats.org/officeDocument/2006/relationships">
  <dimension ref="A1:N70"/>
  <sheetViews>
    <sheetView zoomScale="87" zoomScaleNormal="87" workbookViewId="0" topLeftCell="A1">
      <selection activeCell="C25" sqref="C25"/>
    </sheetView>
  </sheetViews>
  <sheetFormatPr defaultColWidth="11.57421875" defaultRowHeight="12.75"/>
  <cols>
    <col min="1" max="2" width="11.421875" style="0" customWidth="1"/>
    <col min="3" max="3" width="46.28125" style="0" customWidth="1"/>
    <col min="4" max="4" width="6.140625" style="0" customWidth="1"/>
    <col min="5" max="13" width="11.421875" style="0" customWidth="1"/>
    <col min="14" max="14" width="18.28125" style="0" customWidth="1"/>
    <col min="15" max="16384" width="11.421875" style="0" customWidth="1"/>
  </cols>
  <sheetData>
    <row r="1" spans="2:5" ht="12">
      <c r="B1" s="245" t="s">
        <v>102</v>
      </c>
      <c r="C1" s="245"/>
      <c r="D1" s="245"/>
      <c r="E1" s="245"/>
    </row>
    <row r="2" spans="2:5" ht="12">
      <c r="B2" s="245" t="s">
        <v>103</v>
      </c>
      <c r="C2" s="245"/>
      <c r="D2" s="245"/>
      <c r="E2" s="245"/>
    </row>
    <row r="4" ht="12">
      <c r="A4" t="s">
        <v>104</v>
      </c>
    </row>
    <row r="6" ht="12">
      <c r="A6" t="s">
        <v>105</v>
      </c>
    </row>
    <row r="8" spans="1:14" ht="12">
      <c r="A8" t="s">
        <v>106</v>
      </c>
      <c r="B8" t="s">
        <v>6</v>
      </c>
      <c r="C8" t="s">
        <v>107</v>
      </c>
      <c r="D8" t="s">
        <v>108</v>
      </c>
      <c r="E8" t="s">
        <v>109</v>
      </c>
      <c r="F8" t="s">
        <v>110</v>
      </c>
      <c r="G8" t="s">
        <v>111</v>
      </c>
      <c r="H8" t="s">
        <v>112</v>
      </c>
      <c r="I8" t="s">
        <v>113</v>
      </c>
      <c r="J8" t="s">
        <v>114</v>
      </c>
      <c r="K8" t="s">
        <v>115</v>
      </c>
      <c r="L8" t="s">
        <v>116</v>
      </c>
      <c r="M8" t="s">
        <v>117</v>
      </c>
      <c r="N8" t="s">
        <v>118</v>
      </c>
    </row>
    <row r="9" spans="1:14" ht="12">
      <c r="A9" t="s">
        <v>119</v>
      </c>
      <c r="B9" t="s">
        <v>52</v>
      </c>
      <c r="C9" t="s">
        <v>120</v>
      </c>
      <c r="E9" s="246" t="s">
        <v>121</v>
      </c>
      <c r="F9" t="s">
        <v>122</v>
      </c>
      <c r="G9" t="s">
        <v>123</v>
      </c>
      <c r="H9" t="s">
        <v>124</v>
      </c>
      <c r="I9" t="s">
        <v>125</v>
      </c>
      <c r="J9" t="s">
        <v>126</v>
      </c>
      <c r="K9" t="s">
        <v>127</v>
      </c>
      <c r="L9" t="s">
        <v>128</v>
      </c>
      <c r="M9" t="s">
        <v>129</v>
      </c>
      <c r="N9" t="s">
        <v>130</v>
      </c>
    </row>
    <row r="10" spans="1:14" ht="12">
      <c r="A10" t="s">
        <v>119</v>
      </c>
      <c r="B10" t="s">
        <v>46</v>
      </c>
      <c r="C10" t="s">
        <v>131</v>
      </c>
      <c r="E10" s="246" t="s">
        <v>132</v>
      </c>
      <c r="F10" t="s">
        <v>133</v>
      </c>
      <c r="G10" t="s">
        <v>134</v>
      </c>
      <c r="H10" t="s">
        <v>135</v>
      </c>
      <c r="I10" t="s">
        <v>136</v>
      </c>
      <c r="J10" t="s">
        <v>137</v>
      </c>
      <c r="K10" t="s">
        <v>138</v>
      </c>
      <c r="L10" t="s">
        <v>139</v>
      </c>
      <c r="M10" t="s">
        <v>140</v>
      </c>
      <c r="N10" t="s">
        <v>141</v>
      </c>
    </row>
    <row r="11" spans="1:14" ht="12">
      <c r="A11" t="s">
        <v>119</v>
      </c>
      <c r="B11" t="s">
        <v>50</v>
      </c>
      <c r="C11" t="s">
        <v>142</v>
      </c>
      <c r="E11" s="246" t="s">
        <v>143</v>
      </c>
      <c r="F11" t="s">
        <v>133</v>
      </c>
      <c r="G11" t="s">
        <v>144</v>
      </c>
      <c r="H11" t="s">
        <v>145</v>
      </c>
      <c r="I11" t="s">
        <v>146</v>
      </c>
      <c r="J11" t="s">
        <v>147</v>
      </c>
      <c r="K11" t="s">
        <v>148</v>
      </c>
      <c r="L11" t="s">
        <v>149</v>
      </c>
      <c r="M11" t="s">
        <v>150</v>
      </c>
      <c r="N11" t="s">
        <v>141</v>
      </c>
    </row>
    <row r="12" spans="1:14" ht="12">
      <c r="A12" t="s">
        <v>119</v>
      </c>
      <c r="B12" t="s">
        <v>151</v>
      </c>
      <c r="C12" t="s">
        <v>152</v>
      </c>
      <c r="E12" s="246" t="s">
        <v>153</v>
      </c>
      <c r="F12" t="s">
        <v>122</v>
      </c>
      <c r="G12" t="s">
        <v>154</v>
      </c>
      <c r="H12" t="s">
        <v>155</v>
      </c>
      <c r="I12" t="s">
        <v>156</v>
      </c>
      <c r="J12" t="s">
        <v>156</v>
      </c>
      <c r="K12" t="s">
        <v>156</v>
      </c>
      <c r="L12" t="s">
        <v>157</v>
      </c>
      <c r="M12" t="s">
        <v>158</v>
      </c>
      <c r="N12" t="s">
        <v>159</v>
      </c>
    </row>
    <row r="13" spans="1:14" ht="12">
      <c r="A13" t="s">
        <v>119</v>
      </c>
      <c r="B13" t="s">
        <v>40</v>
      </c>
      <c r="C13" t="s">
        <v>160</v>
      </c>
      <c r="E13" s="246" t="s">
        <v>161</v>
      </c>
      <c r="F13" t="s">
        <v>122</v>
      </c>
      <c r="G13" t="s">
        <v>162</v>
      </c>
      <c r="H13" t="s">
        <v>163</v>
      </c>
      <c r="I13" t="s">
        <v>164</v>
      </c>
      <c r="J13" t="s">
        <v>165</v>
      </c>
      <c r="K13" t="s">
        <v>166</v>
      </c>
      <c r="L13" t="s">
        <v>167</v>
      </c>
      <c r="M13" t="s">
        <v>168</v>
      </c>
      <c r="N13" t="s">
        <v>169</v>
      </c>
    </row>
    <row r="14" spans="1:14" ht="12">
      <c r="A14" t="s">
        <v>170</v>
      </c>
      <c r="B14" t="s">
        <v>39</v>
      </c>
      <c r="C14" t="s">
        <v>171</v>
      </c>
      <c r="E14" s="246" t="s">
        <v>172</v>
      </c>
      <c r="F14" t="s">
        <v>133</v>
      </c>
      <c r="G14" t="s">
        <v>173</v>
      </c>
      <c r="H14" t="s">
        <v>174</v>
      </c>
      <c r="I14" t="s">
        <v>175</v>
      </c>
      <c r="J14" t="s">
        <v>176</v>
      </c>
      <c r="K14" t="s">
        <v>177</v>
      </c>
      <c r="L14" t="s">
        <v>178</v>
      </c>
      <c r="M14" t="s">
        <v>179</v>
      </c>
      <c r="N14" t="s">
        <v>180</v>
      </c>
    </row>
    <row r="15" spans="1:14" ht="12">
      <c r="A15" t="s">
        <v>119</v>
      </c>
      <c r="B15" t="s">
        <v>23</v>
      </c>
      <c r="C15" t="s">
        <v>181</v>
      </c>
      <c r="E15" s="246" t="s">
        <v>182</v>
      </c>
      <c r="F15" t="s">
        <v>133</v>
      </c>
      <c r="G15" t="s">
        <v>183</v>
      </c>
      <c r="H15" t="s">
        <v>184</v>
      </c>
      <c r="I15" t="s">
        <v>185</v>
      </c>
      <c r="J15" t="s">
        <v>186</v>
      </c>
      <c r="K15" t="s">
        <v>187</v>
      </c>
      <c r="L15" t="s">
        <v>188</v>
      </c>
      <c r="M15" t="s">
        <v>189</v>
      </c>
      <c r="N15" t="s">
        <v>141</v>
      </c>
    </row>
    <row r="16" spans="1:14" ht="12">
      <c r="A16" t="s">
        <v>170</v>
      </c>
      <c r="B16" t="s">
        <v>22</v>
      </c>
      <c r="C16" t="s">
        <v>190</v>
      </c>
      <c r="E16" s="246" t="s">
        <v>191</v>
      </c>
      <c r="F16" t="s">
        <v>122</v>
      </c>
      <c r="G16" t="s">
        <v>192</v>
      </c>
      <c r="H16" t="s">
        <v>193</v>
      </c>
      <c r="I16" t="s">
        <v>194</v>
      </c>
      <c r="J16" t="s">
        <v>195</v>
      </c>
      <c r="K16" t="s">
        <v>196</v>
      </c>
      <c r="L16" t="s">
        <v>197</v>
      </c>
      <c r="M16" t="s">
        <v>198</v>
      </c>
      <c r="N16" t="s">
        <v>180</v>
      </c>
    </row>
    <row r="17" spans="1:14" ht="12">
      <c r="A17" t="s">
        <v>119</v>
      </c>
      <c r="B17" t="s">
        <v>199</v>
      </c>
      <c r="C17" t="s">
        <v>200</v>
      </c>
      <c r="E17" s="246" t="s">
        <v>201</v>
      </c>
      <c r="F17" t="s">
        <v>122</v>
      </c>
      <c r="G17" t="s">
        <v>202</v>
      </c>
      <c r="H17" t="s">
        <v>203</v>
      </c>
      <c r="I17" t="s">
        <v>204</v>
      </c>
      <c r="J17" t="s">
        <v>205</v>
      </c>
      <c r="K17" t="s">
        <v>156</v>
      </c>
      <c r="L17" t="s">
        <v>206</v>
      </c>
      <c r="M17" t="s">
        <v>207</v>
      </c>
      <c r="N17" t="s">
        <v>208</v>
      </c>
    </row>
    <row r="18" spans="1:14" ht="12">
      <c r="A18" t="s">
        <v>119</v>
      </c>
      <c r="B18" t="s">
        <v>42</v>
      </c>
      <c r="C18" t="s">
        <v>209</v>
      </c>
      <c r="E18" s="246" t="s">
        <v>210</v>
      </c>
      <c r="F18" t="s">
        <v>122</v>
      </c>
      <c r="G18" t="s">
        <v>211</v>
      </c>
      <c r="H18" t="s">
        <v>212</v>
      </c>
      <c r="I18" t="s">
        <v>213</v>
      </c>
      <c r="J18" t="s">
        <v>214</v>
      </c>
      <c r="K18" t="s">
        <v>215</v>
      </c>
      <c r="L18" t="s">
        <v>216</v>
      </c>
      <c r="M18" t="s">
        <v>217</v>
      </c>
      <c r="N18" t="s">
        <v>130</v>
      </c>
    </row>
    <row r="19" spans="1:14" ht="12">
      <c r="A19" t="s">
        <v>119</v>
      </c>
      <c r="B19" t="s">
        <v>40</v>
      </c>
      <c r="C19" t="s">
        <v>160</v>
      </c>
      <c r="E19" s="246" t="s">
        <v>161</v>
      </c>
      <c r="F19" t="s">
        <v>122</v>
      </c>
      <c r="G19" t="s">
        <v>162</v>
      </c>
      <c r="H19" t="s">
        <v>163</v>
      </c>
      <c r="I19" t="s">
        <v>164</v>
      </c>
      <c r="J19" t="s">
        <v>165</v>
      </c>
      <c r="K19" t="s">
        <v>166</v>
      </c>
      <c r="L19" t="s">
        <v>167</v>
      </c>
      <c r="M19" t="s">
        <v>168</v>
      </c>
      <c r="N19" t="s">
        <v>169</v>
      </c>
    </row>
    <row r="20" spans="1:14" ht="12">
      <c r="A20" t="s">
        <v>119</v>
      </c>
      <c r="B20" t="s">
        <v>44</v>
      </c>
      <c r="C20" t="s">
        <v>218</v>
      </c>
      <c r="E20" s="246" t="s">
        <v>219</v>
      </c>
      <c r="F20" t="s">
        <v>133</v>
      </c>
      <c r="G20" t="s">
        <v>220</v>
      </c>
      <c r="H20" t="s">
        <v>221</v>
      </c>
      <c r="I20" t="s">
        <v>222</v>
      </c>
      <c r="J20" t="s">
        <v>223</v>
      </c>
      <c r="K20" t="s">
        <v>224</v>
      </c>
      <c r="L20" t="s">
        <v>225</v>
      </c>
      <c r="M20" t="s">
        <v>226</v>
      </c>
      <c r="N20" t="s">
        <v>180</v>
      </c>
    </row>
    <row r="21" spans="1:14" ht="12">
      <c r="A21" t="s">
        <v>170</v>
      </c>
      <c r="B21" t="s">
        <v>45</v>
      </c>
      <c r="C21" t="s">
        <v>227</v>
      </c>
      <c r="E21" s="246" t="s">
        <v>228</v>
      </c>
      <c r="F21" t="s">
        <v>122</v>
      </c>
      <c r="G21" t="s">
        <v>229</v>
      </c>
      <c r="H21" t="s">
        <v>230</v>
      </c>
      <c r="I21" t="s">
        <v>231</v>
      </c>
      <c r="J21" t="s">
        <v>232</v>
      </c>
      <c r="K21" t="s">
        <v>233</v>
      </c>
      <c r="L21" t="s">
        <v>234</v>
      </c>
      <c r="M21" t="s">
        <v>235</v>
      </c>
      <c r="N21" t="s">
        <v>180</v>
      </c>
    </row>
    <row r="22" spans="1:14" ht="12">
      <c r="A22" t="s">
        <v>170</v>
      </c>
      <c r="B22" t="s">
        <v>47</v>
      </c>
      <c r="C22" t="s">
        <v>236</v>
      </c>
      <c r="E22" s="246" t="s">
        <v>237</v>
      </c>
      <c r="F22" t="s">
        <v>133</v>
      </c>
      <c r="G22" t="s">
        <v>238</v>
      </c>
      <c r="H22" t="s">
        <v>239</v>
      </c>
      <c r="I22" t="s">
        <v>240</v>
      </c>
      <c r="J22" t="s">
        <v>241</v>
      </c>
      <c r="K22" t="s">
        <v>242</v>
      </c>
      <c r="L22" t="s">
        <v>243</v>
      </c>
      <c r="M22" t="s">
        <v>244</v>
      </c>
      <c r="N22" t="s">
        <v>180</v>
      </c>
    </row>
    <row r="23" spans="1:14" ht="12">
      <c r="A23" t="s">
        <v>119</v>
      </c>
      <c r="B23" t="s">
        <v>49</v>
      </c>
      <c r="C23" t="s">
        <v>245</v>
      </c>
      <c r="E23" s="246" t="s">
        <v>246</v>
      </c>
      <c r="F23" t="s">
        <v>133</v>
      </c>
      <c r="G23" t="s">
        <v>247</v>
      </c>
      <c r="H23" t="s">
        <v>248</v>
      </c>
      <c r="I23" t="s">
        <v>249</v>
      </c>
      <c r="J23" t="s">
        <v>250</v>
      </c>
      <c r="K23" t="s">
        <v>251</v>
      </c>
      <c r="L23" t="s">
        <v>252</v>
      </c>
      <c r="M23" t="s">
        <v>253</v>
      </c>
      <c r="N23" t="s">
        <v>254</v>
      </c>
    </row>
    <row r="24" spans="1:14" ht="12">
      <c r="A24" t="s">
        <v>170</v>
      </c>
      <c r="B24" t="s">
        <v>34</v>
      </c>
      <c r="C24" t="s">
        <v>255</v>
      </c>
      <c r="E24" s="246" t="s">
        <v>256</v>
      </c>
      <c r="F24" t="s">
        <v>133</v>
      </c>
      <c r="G24" t="s">
        <v>257</v>
      </c>
      <c r="H24" t="s">
        <v>258</v>
      </c>
      <c r="I24" t="s">
        <v>259</v>
      </c>
      <c r="J24" t="s">
        <v>260</v>
      </c>
      <c r="K24" t="s">
        <v>261</v>
      </c>
      <c r="L24" t="s">
        <v>262</v>
      </c>
      <c r="M24" t="s">
        <v>263</v>
      </c>
      <c r="N24" t="s">
        <v>264</v>
      </c>
    </row>
    <row r="25" spans="1:14" ht="12">
      <c r="A25" t="s">
        <v>119</v>
      </c>
      <c r="B25" t="s">
        <v>51</v>
      </c>
      <c r="C25" t="s">
        <v>265</v>
      </c>
      <c r="E25" s="246" t="s">
        <v>266</v>
      </c>
      <c r="F25" t="s">
        <v>122</v>
      </c>
      <c r="G25" t="s">
        <v>267</v>
      </c>
      <c r="H25" t="s">
        <v>268</v>
      </c>
      <c r="I25" t="s">
        <v>269</v>
      </c>
      <c r="J25" t="s">
        <v>270</v>
      </c>
      <c r="K25" t="s">
        <v>271</v>
      </c>
      <c r="L25" t="s">
        <v>272</v>
      </c>
      <c r="M25" t="s">
        <v>273</v>
      </c>
      <c r="N25" t="s">
        <v>180</v>
      </c>
    </row>
    <row r="26" spans="1:14" ht="12">
      <c r="A26" t="s">
        <v>119</v>
      </c>
      <c r="B26" t="s">
        <v>274</v>
      </c>
      <c r="C26" t="s">
        <v>275</v>
      </c>
      <c r="E26" s="246" t="s">
        <v>276</v>
      </c>
      <c r="F26" t="s">
        <v>133</v>
      </c>
      <c r="G26" t="s">
        <v>277</v>
      </c>
      <c r="H26" t="s">
        <v>278</v>
      </c>
      <c r="I26" t="s">
        <v>279</v>
      </c>
      <c r="J26" t="s">
        <v>280</v>
      </c>
      <c r="K26" t="s">
        <v>281</v>
      </c>
      <c r="L26" t="s">
        <v>282</v>
      </c>
      <c r="M26" t="s">
        <v>280</v>
      </c>
      <c r="N26" t="s">
        <v>169</v>
      </c>
    </row>
    <row r="27" spans="1:14" ht="12">
      <c r="A27" t="s">
        <v>170</v>
      </c>
      <c r="B27" t="s">
        <v>30</v>
      </c>
      <c r="C27" t="s">
        <v>283</v>
      </c>
      <c r="E27" s="246" t="s">
        <v>284</v>
      </c>
      <c r="F27" t="s">
        <v>133</v>
      </c>
      <c r="G27" t="s">
        <v>285</v>
      </c>
      <c r="H27" t="s">
        <v>286</v>
      </c>
      <c r="I27" t="s">
        <v>287</v>
      </c>
      <c r="J27" t="s">
        <v>288</v>
      </c>
      <c r="K27" t="s">
        <v>289</v>
      </c>
      <c r="L27" t="s">
        <v>290</v>
      </c>
      <c r="M27" t="s">
        <v>291</v>
      </c>
      <c r="N27" t="s">
        <v>292</v>
      </c>
    </row>
    <row r="28" spans="1:14" ht="12">
      <c r="A28" t="s">
        <v>119</v>
      </c>
      <c r="B28" t="s">
        <v>293</v>
      </c>
      <c r="C28" t="s">
        <v>294</v>
      </c>
      <c r="E28" s="246" t="s">
        <v>295</v>
      </c>
      <c r="F28" t="s">
        <v>122</v>
      </c>
      <c r="G28" t="s">
        <v>296</v>
      </c>
      <c r="H28" t="s">
        <v>297</v>
      </c>
      <c r="I28" t="s">
        <v>298</v>
      </c>
      <c r="J28" t="s">
        <v>299</v>
      </c>
      <c r="K28" t="s">
        <v>156</v>
      </c>
      <c r="L28" t="s">
        <v>300</v>
      </c>
      <c r="M28" t="s">
        <v>301</v>
      </c>
      <c r="N28" t="s">
        <v>302</v>
      </c>
    </row>
    <row r="29" spans="1:14" ht="12">
      <c r="A29" t="s">
        <v>170</v>
      </c>
      <c r="B29" t="s">
        <v>28</v>
      </c>
      <c r="C29" t="s">
        <v>303</v>
      </c>
      <c r="E29" s="246" t="s">
        <v>304</v>
      </c>
      <c r="F29" t="s">
        <v>133</v>
      </c>
      <c r="G29" t="s">
        <v>305</v>
      </c>
      <c r="H29" t="s">
        <v>306</v>
      </c>
      <c r="I29" t="s">
        <v>307</v>
      </c>
      <c r="J29" t="s">
        <v>308</v>
      </c>
      <c r="K29" t="s">
        <v>309</v>
      </c>
      <c r="L29" t="s">
        <v>310</v>
      </c>
      <c r="M29" t="s">
        <v>311</v>
      </c>
      <c r="N29" t="s">
        <v>169</v>
      </c>
    </row>
    <row r="30" spans="1:14" ht="12">
      <c r="A30" t="s">
        <v>119</v>
      </c>
      <c r="B30" t="s">
        <v>312</v>
      </c>
      <c r="C30" t="s">
        <v>313</v>
      </c>
      <c r="E30" s="246" t="s">
        <v>314</v>
      </c>
      <c r="F30" t="s">
        <v>133</v>
      </c>
      <c r="G30" t="s">
        <v>315</v>
      </c>
      <c r="H30" t="s">
        <v>316</v>
      </c>
      <c r="I30" t="s">
        <v>317</v>
      </c>
      <c r="J30" t="s">
        <v>318</v>
      </c>
      <c r="K30" t="s">
        <v>156</v>
      </c>
      <c r="L30" t="s">
        <v>319</v>
      </c>
      <c r="M30" t="s">
        <v>320</v>
      </c>
      <c r="N30" t="s">
        <v>321</v>
      </c>
    </row>
    <row r="31" spans="1:14" ht="12">
      <c r="A31" t="s">
        <v>170</v>
      </c>
      <c r="B31" t="s">
        <v>21</v>
      </c>
      <c r="C31" t="s">
        <v>322</v>
      </c>
      <c r="E31" s="246" t="s">
        <v>323</v>
      </c>
      <c r="F31" t="s">
        <v>133</v>
      </c>
      <c r="G31" t="s">
        <v>324</v>
      </c>
      <c r="H31" t="s">
        <v>325</v>
      </c>
      <c r="I31" t="s">
        <v>326</v>
      </c>
      <c r="J31" t="s">
        <v>327</v>
      </c>
      <c r="K31" t="s">
        <v>328</v>
      </c>
      <c r="L31" t="s">
        <v>329</v>
      </c>
      <c r="M31" t="s">
        <v>330</v>
      </c>
      <c r="N31" t="s">
        <v>180</v>
      </c>
    </row>
    <row r="32" spans="1:14" ht="12">
      <c r="A32" t="s">
        <v>119</v>
      </c>
      <c r="B32" t="s">
        <v>41</v>
      </c>
      <c r="C32" t="s">
        <v>331</v>
      </c>
      <c r="E32" s="246" t="s">
        <v>332</v>
      </c>
      <c r="F32" t="s">
        <v>122</v>
      </c>
      <c r="G32" t="s">
        <v>333</v>
      </c>
      <c r="H32" t="s">
        <v>334</v>
      </c>
      <c r="I32" t="s">
        <v>335</v>
      </c>
      <c r="J32" t="s">
        <v>336</v>
      </c>
      <c r="K32" t="s">
        <v>337</v>
      </c>
      <c r="L32" t="s">
        <v>338</v>
      </c>
      <c r="M32" t="s">
        <v>339</v>
      </c>
      <c r="N32" t="s">
        <v>340</v>
      </c>
    </row>
    <row r="33" spans="1:14" ht="12">
      <c r="A33" t="s">
        <v>119</v>
      </c>
      <c r="B33" t="s">
        <v>35</v>
      </c>
      <c r="C33" t="s">
        <v>341</v>
      </c>
      <c r="E33" s="246" t="s">
        <v>342</v>
      </c>
      <c r="F33" t="s">
        <v>122</v>
      </c>
      <c r="G33" t="s">
        <v>343</v>
      </c>
      <c r="H33" t="s">
        <v>344</v>
      </c>
      <c r="I33" t="s">
        <v>345</v>
      </c>
      <c r="J33" t="s">
        <v>346</v>
      </c>
      <c r="K33" t="s">
        <v>347</v>
      </c>
      <c r="L33" t="s">
        <v>348</v>
      </c>
      <c r="M33" t="s">
        <v>349</v>
      </c>
      <c r="N33" t="s">
        <v>350</v>
      </c>
    </row>
    <row r="34" spans="1:14" ht="12">
      <c r="A34" t="s">
        <v>170</v>
      </c>
      <c r="B34" t="s">
        <v>351</v>
      </c>
      <c r="C34" t="s">
        <v>352</v>
      </c>
      <c r="E34" s="246" t="s">
        <v>353</v>
      </c>
      <c r="F34" t="s">
        <v>122</v>
      </c>
      <c r="G34" t="s">
        <v>333</v>
      </c>
      <c r="H34" t="s">
        <v>354</v>
      </c>
      <c r="I34" t="s">
        <v>355</v>
      </c>
      <c r="J34" t="s">
        <v>356</v>
      </c>
      <c r="K34" t="s">
        <v>357</v>
      </c>
      <c r="L34" t="s">
        <v>358</v>
      </c>
      <c r="M34" t="s">
        <v>359</v>
      </c>
      <c r="N34" t="s">
        <v>180</v>
      </c>
    </row>
    <row r="35" spans="1:14" ht="12">
      <c r="A35" t="s">
        <v>119</v>
      </c>
      <c r="B35" t="s">
        <v>360</v>
      </c>
      <c r="C35" t="s">
        <v>361</v>
      </c>
      <c r="E35" s="246" t="s">
        <v>362</v>
      </c>
      <c r="F35" t="s">
        <v>133</v>
      </c>
      <c r="G35" t="s">
        <v>363</v>
      </c>
      <c r="H35" t="s">
        <v>364</v>
      </c>
      <c r="I35" t="s">
        <v>365</v>
      </c>
      <c r="J35" t="s">
        <v>366</v>
      </c>
      <c r="K35" t="s">
        <v>367</v>
      </c>
      <c r="L35" t="s">
        <v>368</v>
      </c>
      <c r="M35" t="s">
        <v>369</v>
      </c>
      <c r="N35" t="s">
        <v>350</v>
      </c>
    </row>
    <row r="36" spans="1:14" ht="12">
      <c r="A36" t="s">
        <v>119</v>
      </c>
      <c r="B36" t="s">
        <v>370</v>
      </c>
      <c r="C36" t="s">
        <v>371</v>
      </c>
      <c r="E36" s="246" t="s">
        <v>372</v>
      </c>
      <c r="F36" t="s">
        <v>122</v>
      </c>
      <c r="G36" t="s">
        <v>211</v>
      </c>
      <c r="H36" t="s">
        <v>373</v>
      </c>
      <c r="I36" t="s">
        <v>374</v>
      </c>
      <c r="J36" t="s">
        <v>375</v>
      </c>
      <c r="K36" t="s">
        <v>376</v>
      </c>
      <c r="L36" t="s">
        <v>377</v>
      </c>
      <c r="M36" t="s">
        <v>378</v>
      </c>
      <c r="N36" t="s">
        <v>169</v>
      </c>
    </row>
    <row r="37" spans="1:14" ht="12">
      <c r="A37" t="s">
        <v>119</v>
      </c>
      <c r="B37" t="s">
        <v>32</v>
      </c>
      <c r="C37" t="s">
        <v>379</v>
      </c>
      <c r="E37" s="246" t="s">
        <v>380</v>
      </c>
      <c r="F37" t="s">
        <v>122</v>
      </c>
      <c r="G37" t="s">
        <v>381</v>
      </c>
      <c r="H37" t="s">
        <v>382</v>
      </c>
      <c r="I37" t="s">
        <v>383</v>
      </c>
      <c r="J37" t="s">
        <v>384</v>
      </c>
      <c r="K37" t="s">
        <v>385</v>
      </c>
      <c r="L37" t="s">
        <v>386</v>
      </c>
      <c r="M37" t="s">
        <v>387</v>
      </c>
      <c r="N37" t="s">
        <v>180</v>
      </c>
    </row>
    <row r="38" spans="1:14" ht="12">
      <c r="A38" t="s">
        <v>170</v>
      </c>
      <c r="B38" t="s">
        <v>29</v>
      </c>
      <c r="C38" t="s">
        <v>388</v>
      </c>
      <c r="E38" s="246" t="s">
        <v>389</v>
      </c>
      <c r="F38" t="s">
        <v>122</v>
      </c>
      <c r="G38" t="s">
        <v>390</v>
      </c>
      <c r="H38" t="s">
        <v>391</v>
      </c>
      <c r="I38" t="s">
        <v>392</v>
      </c>
      <c r="J38" t="s">
        <v>393</v>
      </c>
      <c r="K38" t="s">
        <v>394</v>
      </c>
      <c r="L38" t="s">
        <v>395</v>
      </c>
      <c r="M38" t="s">
        <v>393</v>
      </c>
      <c r="N38" t="s">
        <v>180</v>
      </c>
    </row>
    <row r="39" spans="1:14" ht="12">
      <c r="A39" t="s">
        <v>170</v>
      </c>
      <c r="B39" t="s">
        <v>25</v>
      </c>
      <c r="C39" t="s">
        <v>396</v>
      </c>
      <c r="E39" s="246" t="s">
        <v>397</v>
      </c>
      <c r="F39" t="s">
        <v>122</v>
      </c>
      <c r="G39" t="s">
        <v>398</v>
      </c>
      <c r="H39" t="s">
        <v>399</v>
      </c>
      <c r="I39" t="s">
        <v>400</v>
      </c>
      <c r="J39" t="s">
        <v>401</v>
      </c>
      <c r="K39" t="s">
        <v>402</v>
      </c>
      <c r="L39" t="s">
        <v>403</v>
      </c>
      <c r="M39" t="s">
        <v>404</v>
      </c>
      <c r="N39" t="s">
        <v>180</v>
      </c>
    </row>
    <row r="40" spans="1:14" ht="12">
      <c r="A40" t="s">
        <v>119</v>
      </c>
      <c r="B40" t="s">
        <v>405</v>
      </c>
      <c r="C40" t="s">
        <v>406</v>
      </c>
      <c r="E40" s="246" t="s">
        <v>407</v>
      </c>
      <c r="F40" t="s">
        <v>133</v>
      </c>
      <c r="G40" t="s">
        <v>408</v>
      </c>
      <c r="H40" t="s">
        <v>409</v>
      </c>
      <c r="I40" t="s">
        <v>410</v>
      </c>
      <c r="J40" t="s">
        <v>411</v>
      </c>
      <c r="K40" t="s">
        <v>412</v>
      </c>
      <c r="L40" t="s">
        <v>413</v>
      </c>
      <c r="M40" t="s">
        <v>414</v>
      </c>
      <c r="N40" t="s">
        <v>180</v>
      </c>
    </row>
    <row r="41" spans="1:14" ht="12">
      <c r="A41" t="s">
        <v>170</v>
      </c>
      <c r="B41" t="s">
        <v>31</v>
      </c>
      <c r="C41" t="s">
        <v>415</v>
      </c>
      <c r="E41" s="246" t="s">
        <v>416</v>
      </c>
      <c r="F41" t="s">
        <v>122</v>
      </c>
      <c r="G41" t="s">
        <v>417</v>
      </c>
      <c r="H41" t="s">
        <v>418</v>
      </c>
      <c r="I41" t="s">
        <v>419</v>
      </c>
      <c r="J41" t="s">
        <v>420</v>
      </c>
      <c r="K41" t="s">
        <v>421</v>
      </c>
      <c r="L41" t="s">
        <v>422</v>
      </c>
      <c r="M41" t="s">
        <v>423</v>
      </c>
      <c r="N41" t="s">
        <v>254</v>
      </c>
    </row>
    <row r="42" spans="1:14" ht="12">
      <c r="A42" t="s">
        <v>170</v>
      </c>
      <c r="B42" t="s">
        <v>26</v>
      </c>
      <c r="C42" t="s">
        <v>424</v>
      </c>
      <c r="E42" s="246" t="s">
        <v>425</v>
      </c>
      <c r="F42" t="s">
        <v>133</v>
      </c>
      <c r="G42" t="s">
        <v>426</v>
      </c>
      <c r="H42" t="s">
        <v>427</v>
      </c>
      <c r="I42" t="s">
        <v>428</v>
      </c>
      <c r="J42" t="s">
        <v>429</v>
      </c>
      <c r="K42" t="s">
        <v>430</v>
      </c>
      <c r="L42" t="s">
        <v>431</v>
      </c>
      <c r="M42" t="s">
        <v>429</v>
      </c>
      <c r="N42" t="s">
        <v>130</v>
      </c>
    </row>
    <row r="43" spans="1:14" ht="12">
      <c r="A43" t="s">
        <v>119</v>
      </c>
      <c r="B43" t="s">
        <v>432</v>
      </c>
      <c r="C43" t="s">
        <v>433</v>
      </c>
      <c r="E43" s="246" t="s">
        <v>434</v>
      </c>
      <c r="F43" t="s">
        <v>133</v>
      </c>
      <c r="G43" t="s">
        <v>435</v>
      </c>
      <c r="H43" t="s">
        <v>436</v>
      </c>
      <c r="I43" t="s">
        <v>437</v>
      </c>
      <c r="J43" t="s">
        <v>438</v>
      </c>
      <c r="K43" t="s">
        <v>439</v>
      </c>
      <c r="L43" t="s">
        <v>440</v>
      </c>
      <c r="M43" t="s">
        <v>438</v>
      </c>
      <c r="N43" t="s">
        <v>180</v>
      </c>
    </row>
    <row r="44" spans="1:14" ht="12">
      <c r="A44" t="s">
        <v>119</v>
      </c>
      <c r="B44" t="s">
        <v>33</v>
      </c>
      <c r="C44" t="s">
        <v>441</v>
      </c>
      <c r="E44" s="246" t="s">
        <v>442</v>
      </c>
      <c r="F44" t="s">
        <v>122</v>
      </c>
      <c r="G44" t="s">
        <v>443</v>
      </c>
      <c r="H44" t="s">
        <v>444</v>
      </c>
      <c r="I44" t="s">
        <v>445</v>
      </c>
      <c r="J44" t="s">
        <v>446</v>
      </c>
      <c r="K44" t="s">
        <v>447</v>
      </c>
      <c r="L44" t="s">
        <v>448</v>
      </c>
      <c r="M44" t="s">
        <v>449</v>
      </c>
      <c r="N44" t="s">
        <v>169</v>
      </c>
    </row>
    <row r="45" spans="1:14" ht="12">
      <c r="A45" t="s">
        <v>119</v>
      </c>
      <c r="B45" t="s">
        <v>450</v>
      </c>
      <c r="C45" t="s">
        <v>451</v>
      </c>
      <c r="E45" s="246" t="s">
        <v>452</v>
      </c>
      <c r="F45" t="s">
        <v>122</v>
      </c>
      <c r="G45" t="s">
        <v>453</v>
      </c>
      <c r="H45" t="s">
        <v>454</v>
      </c>
      <c r="I45" t="s">
        <v>455</v>
      </c>
      <c r="J45" t="s">
        <v>175</v>
      </c>
      <c r="K45" t="s">
        <v>456</v>
      </c>
      <c r="L45" t="s">
        <v>457</v>
      </c>
      <c r="M45" t="s">
        <v>458</v>
      </c>
      <c r="N45" t="s">
        <v>350</v>
      </c>
    </row>
    <row r="46" spans="1:14" ht="12">
      <c r="A46" t="s">
        <v>119</v>
      </c>
      <c r="B46" t="s">
        <v>43</v>
      </c>
      <c r="C46" t="s">
        <v>459</v>
      </c>
      <c r="E46" s="246" t="s">
        <v>460</v>
      </c>
      <c r="F46" t="s">
        <v>122</v>
      </c>
      <c r="G46" t="s">
        <v>461</v>
      </c>
      <c r="H46" t="s">
        <v>462</v>
      </c>
      <c r="I46" t="s">
        <v>463</v>
      </c>
      <c r="J46" t="s">
        <v>464</v>
      </c>
      <c r="K46" t="s">
        <v>465</v>
      </c>
      <c r="L46" t="s">
        <v>466</v>
      </c>
      <c r="M46" t="s">
        <v>467</v>
      </c>
      <c r="N46" t="s">
        <v>141</v>
      </c>
    </row>
    <row r="47" spans="1:14" ht="12">
      <c r="A47" t="s">
        <v>170</v>
      </c>
      <c r="B47" t="s">
        <v>36</v>
      </c>
      <c r="C47" t="s">
        <v>468</v>
      </c>
      <c r="E47" s="246" t="s">
        <v>469</v>
      </c>
      <c r="F47" t="s">
        <v>122</v>
      </c>
      <c r="G47" t="s">
        <v>211</v>
      </c>
      <c r="H47" t="s">
        <v>470</v>
      </c>
      <c r="I47" t="s">
        <v>471</v>
      </c>
      <c r="J47" t="s">
        <v>472</v>
      </c>
      <c r="K47" t="s">
        <v>473</v>
      </c>
      <c r="L47" t="s">
        <v>474</v>
      </c>
      <c r="M47" t="s">
        <v>472</v>
      </c>
      <c r="N47" t="s">
        <v>180</v>
      </c>
    </row>
    <row r="48" spans="1:14" ht="12">
      <c r="A48" t="s">
        <v>170</v>
      </c>
      <c r="B48" t="s">
        <v>475</v>
      </c>
      <c r="C48" t="s">
        <v>476</v>
      </c>
      <c r="E48" s="246" t="s">
        <v>477</v>
      </c>
      <c r="F48" t="s">
        <v>133</v>
      </c>
      <c r="G48" t="s">
        <v>478</v>
      </c>
      <c r="H48" t="s">
        <v>479</v>
      </c>
      <c r="I48" t="s">
        <v>156</v>
      </c>
      <c r="J48" t="s">
        <v>156</v>
      </c>
      <c r="K48" t="s">
        <v>156</v>
      </c>
      <c r="L48" t="s">
        <v>480</v>
      </c>
      <c r="M48" t="s">
        <v>477</v>
      </c>
      <c r="N48" t="s">
        <v>159</v>
      </c>
    </row>
    <row r="49" spans="1:14" ht="12">
      <c r="A49" t="s">
        <v>119</v>
      </c>
      <c r="B49" t="s">
        <v>481</v>
      </c>
      <c r="C49" t="s">
        <v>482</v>
      </c>
      <c r="E49" s="246" t="s">
        <v>483</v>
      </c>
      <c r="F49" t="s">
        <v>122</v>
      </c>
      <c r="G49" t="s">
        <v>484</v>
      </c>
      <c r="H49" t="s">
        <v>485</v>
      </c>
      <c r="I49" t="s">
        <v>486</v>
      </c>
      <c r="J49" t="s">
        <v>487</v>
      </c>
      <c r="K49" t="s">
        <v>488</v>
      </c>
      <c r="L49" t="s">
        <v>489</v>
      </c>
      <c r="M49" t="s">
        <v>490</v>
      </c>
      <c r="N49" t="s">
        <v>292</v>
      </c>
    </row>
    <row r="50" spans="1:14" ht="12">
      <c r="A50" t="s">
        <v>119</v>
      </c>
      <c r="B50" t="s">
        <v>491</v>
      </c>
      <c r="C50" t="s">
        <v>492</v>
      </c>
      <c r="E50" s="246" t="s">
        <v>493</v>
      </c>
      <c r="F50" t="s">
        <v>122</v>
      </c>
      <c r="G50" t="s">
        <v>494</v>
      </c>
      <c r="H50" t="s">
        <v>470</v>
      </c>
      <c r="I50" t="s">
        <v>495</v>
      </c>
      <c r="J50" t="s">
        <v>496</v>
      </c>
      <c r="K50" t="s">
        <v>497</v>
      </c>
      <c r="L50" t="s">
        <v>498</v>
      </c>
      <c r="M50" t="s">
        <v>499</v>
      </c>
      <c r="N50" t="s">
        <v>180</v>
      </c>
    </row>
    <row r="51" spans="1:14" ht="12">
      <c r="A51" t="s">
        <v>119</v>
      </c>
      <c r="B51" t="s">
        <v>27</v>
      </c>
      <c r="C51" t="s">
        <v>500</v>
      </c>
      <c r="E51" s="246" t="s">
        <v>501</v>
      </c>
      <c r="F51" t="s">
        <v>133</v>
      </c>
      <c r="G51" t="s">
        <v>502</v>
      </c>
      <c r="H51" t="s">
        <v>503</v>
      </c>
      <c r="I51" t="s">
        <v>504</v>
      </c>
      <c r="J51" t="s">
        <v>505</v>
      </c>
      <c r="K51" t="s">
        <v>506</v>
      </c>
      <c r="L51" t="s">
        <v>507</v>
      </c>
      <c r="M51" t="s">
        <v>508</v>
      </c>
      <c r="N51" t="s">
        <v>169</v>
      </c>
    </row>
    <row r="52" spans="1:14" ht="12">
      <c r="A52" t="s">
        <v>119</v>
      </c>
      <c r="B52" t="s">
        <v>38</v>
      </c>
      <c r="C52" t="s">
        <v>509</v>
      </c>
      <c r="E52" s="246" t="s">
        <v>510</v>
      </c>
      <c r="F52" t="s">
        <v>122</v>
      </c>
      <c r="G52" t="s">
        <v>511</v>
      </c>
      <c r="H52" t="s">
        <v>512</v>
      </c>
      <c r="I52" t="s">
        <v>513</v>
      </c>
      <c r="J52" t="s">
        <v>514</v>
      </c>
      <c r="K52" t="s">
        <v>515</v>
      </c>
      <c r="L52" t="s">
        <v>516</v>
      </c>
      <c r="M52" t="s">
        <v>517</v>
      </c>
      <c r="N52" t="s">
        <v>292</v>
      </c>
    </row>
    <row r="53" spans="1:14" ht="12">
      <c r="A53" t="s">
        <v>119</v>
      </c>
      <c r="B53" t="s">
        <v>518</v>
      </c>
      <c r="C53" t="s">
        <v>519</v>
      </c>
      <c r="E53" s="246" t="s">
        <v>520</v>
      </c>
      <c r="F53" t="s">
        <v>133</v>
      </c>
      <c r="G53" t="s">
        <v>521</v>
      </c>
      <c r="H53" t="s">
        <v>522</v>
      </c>
      <c r="I53" t="s">
        <v>523</v>
      </c>
      <c r="J53" t="s">
        <v>524</v>
      </c>
      <c r="K53" t="s">
        <v>525</v>
      </c>
      <c r="L53" t="s">
        <v>526</v>
      </c>
      <c r="M53" t="s">
        <v>527</v>
      </c>
      <c r="N53" t="s">
        <v>340</v>
      </c>
    </row>
    <row r="54" spans="1:14" ht="12">
      <c r="A54" t="s">
        <v>119</v>
      </c>
      <c r="B54" t="s">
        <v>528</v>
      </c>
      <c r="C54" t="s">
        <v>529</v>
      </c>
      <c r="E54" s="246" t="s">
        <v>530</v>
      </c>
      <c r="F54" t="s">
        <v>122</v>
      </c>
      <c r="G54" t="s">
        <v>531</v>
      </c>
      <c r="H54" t="s">
        <v>532</v>
      </c>
      <c r="I54" t="s">
        <v>533</v>
      </c>
      <c r="J54" t="s">
        <v>534</v>
      </c>
      <c r="K54" t="s">
        <v>535</v>
      </c>
      <c r="L54" t="s">
        <v>536</v>
      </c>
      <c r="M54" t="s">
        <v>537</v>
      </c>
      <c r="N54" t="s">
        <v>130</v>
      </c>
    </row>
    <row r="55" spans="1:14" ht="12">
      <c r="A55" t="s">
        <v>119</v>
      </c>
      <c r="B55" t="s">
        <v>48</v>
      </c>
      <c r="C55" t="s">
        <v>538</v>
      </c>
      <c r="E55" s="246" t="s">
        <v>539</v>
      </c>
      <c r="F55" t="s">
        <v>133</v>
      </c>
      <c r="G55" t="s">
        <v>540</v>
      </c>
      <c r="H55" t="s">
        <v>541</v>
      </c>
      <c r="I55" t="s">
        <v>542</v>
      </c>
      <c r="J55" t="s">
        <v>543</v>
      </c>
      <c r="K55" t="s">
        <v>544</v>
      </c>
      <c r="L55" t="s">
        <v>545</v>
      </c>
      <c r="M55" t="s">
        <v>546</v>
      </c>
      <c r="N55" t="s">
        <v>292</v>
      </c>
    </row>
    <row r="56" spans="1:14" ht="12">
      <c r="A56" t="s">
        <v>119</v>
      </c>
      <c r="B56" t="s">
        <v>547</v>
      </c>
      <c r="C56" t="s">
        <v>548</v>
      </c>
      <c r="E56" s="246" t="s">
        <v>549</v>
      </c>
      <c r="F56" t="s">
        <v>133</v>
      </c>
      <c r="G56" t="s">
        <v>134</v>
      </c>
      <c r="H56" t="s">
        <v>550</v>
      </c>
      <c r="I56" t="s">
        <v>551</v>
      </c>
      <c r="J56" t="s">
        <v>552</v>
      </c>
      <c r="K56" t="s">
        <v>553</v>
      </c>
      <c r="L56" t="s">
        <v>554</v>
      </c>
      <c r="M56" t="s">
        <v>555</v>
      </c>
      <c r="N56" t="s">
        <v>130</v>
      </c>
    </row>
    <row r="57" spans="1:14" ht="12">
      <c r="A57" t="s">
        <v>119</v>
      </c>
      <c r="B57" t="s">
        <v>556</v>
      </c>
      <c r="C57" t="s">
        <v>557</v>
      </c>
      <c r="E57" s="246" t="s">
        <v>558</v>
      </c>
      <c r="F57" t="s">
        <v>133</v>
      </c>
      <c r="G57" t="s">
        <v>559</v>
      </c>
      <c r="H57" t="s">
        <v>560</v>
      </c>
      <c r="I57" t="s">
        <v>156</v>
      </c>
      <c r="J57" t="s">
        <v>156</v>
      </c>
      <c r="K57" t="s">
        <v>156</v>
      </c>
      <c r="L57" t="s">
        <v>561</v>
      </c>
      <c r="M57" t="s">
        <v>562</v>
      </c>
      <c r="N57" t="s">
        <v>159</v>
      </c>
    </row>
    <row r="58" spans="1:14" ht="12">
      <c r="A58" t="s">
        <v>119</v>
      </c>
      <c r="B58" t="s">
        <v>37</v>
      </c>
      <c r="C58" t="s">
        <v>563</v>
      </c>
      <c r="E58" s="246" t="s">
        <v>564</v>
      </c>
      <c r="F58" t="s">
        <v>122</v>
      </c>
      <c r="G58" t="s">
        <v>123</v>
      </c>
      <c r="H58" t="s">
        <v>565</v>
      </c>
      <c r="I58" t="s">
        <v>566</v>
      </c>
      <c r="J58" t="s">
        <v>567</v>
      </c>
      <c r="K58" t="s">
        <v>568</v>
      </c>
      <c r="L58" t="s">
        <v>569</v>
      </c>
      <c r="M58" t="s">
        <v>570</v>
      </c>
      <c r="N58" t="s">
        <v>180</v>
      </c>
    </row>
    <row r="59" ht="12">
      <c r="A59" t="s">
        <v>571</v>
      </c>
    </row>
    <row r="61" ht="12">
      <c r="A61" t="s">
        <v>572</v>
      </c>
    </row>
    <row r="62" ht="12">
      <c r="A62" t="s">
        <v>573</v>
      </c>
    </row>
    <row r="63" ht="12">
      <c r="A63" t="s">
        <v>574</v>
      </c>
    </row>
    <row r="65" ht="12">
      <c r="A65" t="s">
        <v>575</v>
      </c>
    </row>
    <row r="66" ht="12">
      <c r="A66" t="s">
        <v>576</v>
      </c>
    </row>
    <row r="67" ht="12">
      <c r="A67" t="s">
        <v>577</v>
      </c>
    </row>
    <row r="70" ht="12">
      <c r="A70" t="s">
        <v>578</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Michel Turcotte</cp:lastModifiedBy>
  <dcterms:modified xsi:type="dcterms:W3CDTF">2013-12-17T22:18:13Z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